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Contrattazione Integrativa" sheetId="7" r:id="rId7"/>
    <sheet name="Visualizzazione Limite 2016" sheetId="8" r:id="rId8"/>
    <sheet name="SI_1" sheetId="9" r:id="rId9"/>
    <sheet name="SICI" sheetId="10" r:id="rId10"/>
    <sheet name="t1" sheetId="11" r:id="rId11"/>
    <sheet name="t1a" sheetId="12" r:id="rId12"/>
    <sheet name="t1b" sheetId="13" r:id="rId13"/>
    <sheet name="t1e" sheetId="14" r:id="rId14"/>
    <sheet name="t1f" sheetId="15" r:id="rId15"/>
    <sheet name="t1g" sheetId="16" r:id="rId16"/>
    <sheet name="t2" sheetId="17" r:id="rId17"/>
    <sheet name="t2a" sheetId="18" r:id="rId18"/>
    <sheet name="t3" sheetId="19" r:id="rId19"/>
    <sheet name="t4" sheetId="20" r:id="rId20"/>
    <sheet name="t5" sheetId="21" r:id="rId21"/>
    <sheet name="t6" sheetId="22" r:id="rId22"/>
    <sheet name="t7" sheetId="23" r:id="rId23"/>
    <sheet name="t8" sheetId="24" r:id="rId24"/>
    <sheet name="t9" sheetId="25" r:id="rId25"/>
    <sheet name="t11" sheetId="26" r:id="rId26"/>
    <sheet name="t12" sheetId="27" r:id="rId27"/>
    <sheet name="t13" sheetId="28" r:id="rId28"/>
    <sheet name="t14" sheetId="29" r:id="rId29"/>
    <sheet name="t15" sheetId="30" r:id="rId30"/>
    <sheet name="SchedaRiconciliazione" sheetId="31" r:id="rId31"/>
  </sheets>
  <definedNames/>
  <calcPr fullCalcOnLoad="1"/>
</workbook>
</file>

<file path=xl/sharedStrings.xml><?xml version="1.0" encoding="utf-8"?>
<sst xmlns="http://schemas.openxmlformats.org/spreadsheetml/2006/main" count="2511" uniqueCount="971">
  <si>
    <t>Stampa  Intero Modello  in data : 19/10/2022</t>
  </si>
  <si>
    <t xml:space="preserve">Tipo Rilevazione : </t>
  </si>
  <si>
    <t>CONSUNTIVAZIONE SPESE</t>
  </si>
  <si>
    <t xml:space="preserve">Anno : </t>
  </si>
  <si>
    <t>2021</t>
  </si>
  <si>
    <t xml:space="preserve">Tipo Istituzione : </t>
  </si>
  <si>
    <t>UNITA' SANITARIE LOCALI</t>
  </si>
  <si>
    <t xml:space="preserve">Istituzione : </t>
  </si>
  <si>
    <t>9433 - ASL VITERBO</t>
  </si>
  <si>
    <t xml:space="preserve">Contratto : </t>
  </si>
  <si>
    <t>SERVIZIO SANITARIO NAZIONALE</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</si>
  <si>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</si>
  <si>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</si>
  <si>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</si>
  <si>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</si>
  <si>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</si>
  <si>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</si>
  <si>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</si>
  <si>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</si>
  <si>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</si>
  <si>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</si>
  <si>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</si>
  <si>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</si>
  <si>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</si>
  <si>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</si>
  <si>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</si>
  <si>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</si>
  <si>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</si>
  <si>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</si>
  <si>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</si>
  <si>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</si>
  <si>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</si>
  <si>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</si>
  <si>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</si>
  <si>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</si>
  <si>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</si>
  <si>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</si>
  <si>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</si>
  <si>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</si>
  <si>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</si>
  <si>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</si>
  <si>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</si>
  <si>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</si>
  <si>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</si>
  <si>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</si>
  <si>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Risultano inviati i dati dell'appendice Co.Co.Co.</t>
  </si>
  <si>
    <t>Il Modello inviato risulta certificato in data : 19/10/2022</t>
  </si>
  <si>
    <t>Il Modello inviato ? stato certificato la prima volta in data : 27/09/2022</t>
  </si>
  <si>
    <t>Riepilogo Anomalie</t>
  </si>
  <si>
    <t>NSIS</t>
  </si>
  <si>
    <t>SQ1</t>
  </si>
  <si>
    <t>SQ2</t>
  </si>
  <si>
    <t>SQ3</t>
  </si>
  <si>
    <t>SQ4</t>
  </si>
  <si>
    <t>SQ5</t>
  </si>
  <si>
    <t>SQ6</t>
  </si>
  <si>
    <t>SQ7</t>
  </si>
  <si>
    <t>SQ8</t>
  </si>
  <si>
    <t>SQ9</t>
  </si>
  <si>
    <t>SQ10</t>
  </si>
  <si>
    <t>Stato</t>
  </si>
  <si>
    <t>NO</t>
  </si>
  <si>
    <t>IN1</t>
  </si>
  <si>
    <t>IN2</t>
  </si>
  <si>
    <t>IN3</t>
  </si>
  <si>
    <t>IN4</t>
  </si>
  <si>
    <t>IN5</t>
  </si>
  <si>
    <t>IN6</t>
  </si>
  <si>
    <t>IN7</t>
  </si>
  <si>
    <t>IN8</t>
  </si>
  <si>
    <t>IN9</t>
  </si>
  <si>
    <t>IN10</t>
  </si>
  <si>
    <t>IN11</t>
  </si>
  <si>
    <t>IN12</t>
  </si>
  <si>
    <t>IN13</t>
  </si>
  <si>
    <t>IN14</t>
  </si>
  <si>
    <t>IN15</t>
  </si>
  <si>
    <t>IN16</t>
  </si>
  <si>
    <t>IN17</t>
  </si>
  <si>
    <t>Qualora presenti, il dettaglio delle anomalie e delle giustificazioni addotte dall'amministrazione alle incongruenze ? riportato nel "PDF delle anomalie" che dovr?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</si>
  <si>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</si>
  <si>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</si>
  <si>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</si>
  <si>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</si>
  <si>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</si>
  <si>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</si>
  <si>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</si>
  <si>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</si>
  <si>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19/10/2022 01:03:35</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</si>
  <si>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</si>
  <si>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</si>
  <si>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</si>
  <si>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</si>
  <si>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</si>
  <si>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2019</t>
  </si>
  <si>
    <t>2020</t>
  </si>
  <si>
    <t>DIRETTORI GENERALI</t>
  </si>
  <si>
    <t>MEDICI</t>
  </si>
  <si>
    <t>VETERINARI</t>
  </si>
  <si>
    <t>FARMACISTI</t>
  </si>
  <si>
    <t>BIOLOGI</t>
  </si>
  <si>
    <t>FISICI</t>
  </si>
  <si>
    <t>PSICOLOGI</t>
  </si>
  <si>
    <t>DIRIGENTI PROFESSIONI SANITARIE</t>
  </si>
  <si>
    <t>PROFILI RUOLO SANITARIO - PERSONALE INFERMIERISTICO</t>
  </si>
  <si>
    <t>PROFILI RUOLO SANITARIO - PERSONALE TECNICO SANITARIO</t>
  </si>
  <si>
    <t>PROFILI RUOLO SANITARIO - PERSONALE VIGILANZA E ISPEZIONE</t>
  </si>
  <si>
    <t>PROFILI RUOLO SANITARIO - PERSONALE FUNZIONI RIABILITATIVE</t>
  </si>
  <si>
    <t>DIR. RUOLO PROFESSIONALE</t>
  </si>
  <si>
    <t>DIR. RUOLO TECNICO</t>
  </si>
  <si>
    <t>PROFILI RUOLO TECNICO</t>
  </si>
  <si>
    <t>DIR. RUOLO AMMINISTRATIVO</t>
  </si>
  <si>
    <t>PROFILI RUOLO AMMINISTRATIVO</t>
  </si>
  <si>
    <t>PERSONALE CONTRATTISTA</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</si>
  <si>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</si>
  <si>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</si>
  <si>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</si>
  <si>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</si>
  <si>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</si>
  <si>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</si>
  <si>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</si>
  <si>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</si>
  <si>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</si>
  <si>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</si>
  <si>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3,67</t>
  </si>
  <si>
    <t>2,46</t>
  </si>
  <si>
    <t>7,55</t>
  </si>
  <si>
    <t>2</t>
  </si>
  <si>
    <t>4,14</t>
  </si>
  <si>
    <t>6,26</t>
  </si>
  <si>
    <t>5,95</t>
  </si>
  <si>
    <t>3</t>
  </si>
  <si>
    <t>5,23</t>
  </si>
  <si>
    <t>6,83</t>
  </si>
  <si>
    <t>DIRIG. SANITARI NON MEDICI</t>
  </si>
  <si>
    <t>60,67</t>
  </si>
  <si>
    <t>76,17</t>
  </si>
  <si>
    <t>35,08</t>
  </si>
  <si>
    <t>37,58</t>
  </si>
  <si>
    <t>36</t>
  </si>
  <si>
    <t>429,63</t>
  </si>
  <si>
    <t>458,31</t>
  </si>
  <si>
    <t>457,54</t>
  </si>
  <si>
    <t>11,21</t>
  </si>
  <si>
    <t>15</t>
  </si>
  <si>
    <t>5</t>
  </si>
  <si>
    <t>43,42</t>
  </si>
  <si>
    <t>1.090,69</t>
  </si>
  <si>
    <t>1.149,68</t>
  </si>
  <si>
    <t>1.246,18</t>
  </si>
  <si>
    <t>149,84</t>
  </si>
  <si>
    <t>147,21</t>
  </si>
  <si>
    <t>151,06</t>
  </si>
  <si>
    <t>36,71</t>
  </si>
  <si>
    <t>33,93</t>
  </si>
  <si>
    <t>35,35</t>
  </si>
  <si>
    <t>84,55</t>
  </si>
  <si>
    <t>83,61</t>
  </si>
  <si>
    <t>80,71</t>
  </si>
  <si>
    <t>349,63</t>
  </si>
  <si>
    <t>343,4</t>
  </si>
  <si>
    <t>338,28</t>
  </si>
  <si>
    <t>275,94</t>
  </si>
  <si>
    <t>249,71</t>
  </si>
  <si>
    <t>234,73</t>
  </si>
  <si>
    <t>1</t>
  </si>
  <si>
    <t>2.529,55</t>
  </si>
  <si>
    <t>2.598,54</t>
  </si>
  <si>
    <t>2.679,8</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</si>
  <si>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</si>
  <si>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</si>
  <si>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</si>
  <si>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</si>
  <si>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</si>
  <si>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</si>
  <si>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</si>
  <si>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</si>
  <si>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</si>
  <si>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</si>
  <si>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</si>
  <si>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</si>
  <si>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</si>
  <si>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</si>
  <si>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Flessibile (Tab.2A) - Dati riepilogativi dell'ultimo triennio</t>
  </si>
  <si>
    <t>Personale a tempo determinato n. dipendenti T2A</t>
  </si>
  <si>
    <t>Personale con contratti di collaborazione coordinata e continuativa</t>
  </si>
  <si>
    <t>MD - MEDICI</t>
  </si>
  <si>
    <t>DS - DIRIG. SANITARI NON MEDICI</t>
  </si>
  <si>
    <t>FM - FARMACISTI</t>
  </si>
  <si>
    <t>PS - DIRIGENTI PROFESSIONI SANITARIE</t>
  </si>
  <si>
    <t>CH - CHIMICI</t>
  </si>
  <si>
    <t>FI - FISICI</t>
  </si>
  <si>
    <t>PL - PSICOLOGI</t>
  </si>
  <si>
    <t>SI - PROFILI RUOLO SANITARIO - PERSONALE INFERMIERISTICO</t>
  </si>
  <si>
    <t>DP - DIR. RUOLO PROFESSIONALE</t>
  </si>
  <si>
    <t>ST - PROFILI RUOLO SANITARIO - PERSONALE TECNICO SANITARIO</t>
  </si>
  <si>
    <t>SV - PROFILI RUOLO SANITARIO - PERSONALE VIGILANZA E ISPEZIONE</t>
  </si>
  <si>
    <t>DT - DIR. RUOLO TECNICO</t>
  </si>
  <si>
    <t>SF - PROFILI RUOLO SANITARIO - PERSONALE FUNZIONI RIABILITATIVE</t>
  </si>
  <si>
    <t>DA - DIR. RUOLO AMMINISTRATIVO</t>
  </si>
  <si>
    <t>LP - PROFILI RUOLO PROFESSIONALE</t>
  </si>
  <si>
    <t>LT - PROFILI RUOLO TECNICO</t>
  </si>
  <si>
    <t>LA - PROFILI RUOLO AMMINISTRATIVO</t>
  </si>
  <si>
    <t>TOTALE</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</si>
  <si>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</si>
  <si>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</si>
  <si>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</si>
  <si>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</si>
  <si>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</si>
  <si>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</si>
  <si>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</si>
  <si>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</si>
  <si>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</si>
  <si>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</si>
  <si>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</si>
  <si>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</si>
  <si>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</si>
  <si>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</si>
  <si>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</si>
  <si>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</si>
  <si>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</si>
  <si>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</si>
  <si>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</si>
  <si>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</si>
  <si>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</si>
  <si>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</si>
  <si>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</si>
  <si>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Contrattazione Integrativa - Dati riepilogativi dell'ultimo triennio</t>
  </si>
  <si>
    <t>Macrocategoria</t>
  </si>
  <si>
    <t>Fondo</t>
  </si>
  <si>
    <t>Risorse per il finanziamento del fondo (voci di entrata)</t>
  </si>
  <si>
    <t>Utilizzo del fondo (voci di uscita)</t>
  </si>
  <si>
    <t>DIRIGENTI SANITARI</t>
  </si>
  <si>
    <t>Fondo per la retribuzione degli incarichi</t>
  </si>
  <si>
    <t>-</t>
  </si>
  <si>
    <t>0</t>
  </si>
  <si>
    <t>10.732.380</t>
  </si>
  <si>
    <t>10.370.670</t>
  </si>
  <si>
    <t>Fondo per la retribuzione di risultato</t>
  </si>
  <si>
    <t>2.442.390</t>
  </si>
  <si>
    <t>2.901.405</t>
  </si>
  <si>
    <t>Fondo per la retribuzione delle condizioni di lavoro</t>
  </si>
  <si>
    <t>2.214.130</t>
  </si>
  <si>
    <t>2.108.464</t>
  </si>
  <si>
    <t>Trattamenti accessori emergenza COVID-19</t>
  </si>
  <si>
    <t>573.715</t>
  </si>
  <si>
    <t>Fondo retrib. risultato e qualità prestazione individuale</t>
  </si>
  <si>
    <t>253.367</t>
  </si>
  <si>
    <t>Fondo specificità medica, retrib. posizione, equiparazione</t>
  </si>
  <si>
    <t>11.300.947</t>
  </si>
  <si>
    <t>9.933.875</t>
  </si>
  <si>
    <t>Fondo trattamento accessorio condizioni di lavoro</t>
  </si>
  <si>
    <t>1.922.713</t>
  </si>
  <si>
    <t>1.597.083</t>
  </si>
  <si>
    <t>PERSONALE NON DIRIGENTE</t>
  </si>
  <si>
    <t>Fondo condizioni di lavoro e incarichi</t>
  </si>
  <si>
    <t>7.638.566</t>
  </si>
  <si>
    <t>8.068.806</t>
  </si>
  <si>
    <t>7.111.366</t>
  </si>
  <si>
    <t>7.511.736</t>
  </si>
  <si>
    <t>8.026.910</t>
  </si>
  <si>
    <t>Fondo premialità e fasce</t>
  </si>
  <si>
    <t>7.659.494</t>
  </si>
  <si>
    <t>8.013.760</t>
  </si>
  <si>
    <t>4.933.228</t>
  </si>
  <si>
    <t>7.694.595</t>
  </si>
  <si>
    <t>7.617.914</t>
  </si>
  <si>
    <t>Trattamento accessorio ruolo Ricerca IRCCS/IZS</t>
  </si>
  <si>
    <t>2.472.839</t>
  </si>
  <si>
    <t>DIRIGENTI NON MEDICI</t>
  </si>
  <si>
    <t>124.773</t>
  </si>
  <si>
    <t>Fondo retrib. posizione, equiparazione, specifico tratt.</t>
  </si>
  <si>
    <t>1.474.670</t>
  </si>
  <si>
    <t>1.155.611</t>
  </si>
  <si>
    <t>127.926</t>
  </si>
  <si>
    <t>54.718</t>
  </si>
  <si>
    <t>DIRIGENTI PROFESSIONALI, TECNICI E AMMINISTRATIVI</t>
  </si>
  <si>
    <t>180.385</t>
  </si>
  <si>
    <t>414.034</t>
  </si>
  <si>
    <t>Fondo retribuzione di posizione</t>
  </si>
  <si>
    <t>431.583</t>
  </si>
  <si>
    <t>10.510</t>
  </si>
  <si>
    <t>5.829</t>
  </si>
  <si>
    <t>Fondo retribuzione di risultato e altri trattamenti accessori</t>
  </si>
  <si>
    <t>155.947</t>
  </si>
  <si>
    <t>Visualizzazione Limite 2016</t>
  </si>
  <si>
    <t>Il sistema controlla che il totale delle risorse della T15, detratte le voci non soggette alla verifica al limite 2016 indicate nella voce LEG398, sia inferiore al limite 2016 indicato nella voce LEG428, con tolleranza di 1000 €.</t>
  </si>
  <si>
    <t>Voce</t>
  </si>
  <si>
    <t>Totale Amministrazione</t>
  </si>
  <si>
    <t>Totale risorse tabella 15</t>
  </si>
  <si>
    <t>Totale voci non rilevanti ai fini della verifica del limite 2016 (#)</t>
  </si>
  <si>
    <t>Totale risorse soggette alla verifica del limite (a-b)</t>
  </si>
  <si>
    <t>Limite 2016 di cui all'articolo 23, comma 2 del DLgs 75/2017 (##)</t>
  </si>
  <si>
    <t>15095458</t>
  </si>
  <si>
    <t>571021</t>
  </si>
  <si>
    <t>14900516</t>
  </si>
  <si>
    <t>30566995</t>
  </si>
  <si>
    <t>Coerenza con tolleranza di 1000 €</t>
  </si>
  <si>
    <t>OK</t>
  </si>
  <si>
    <t>(#) Voce LEG398 della scheda SICI della corrispondente macro-categoria</t>
  </si>
  <si>
    <t>(##) Voce LEG428 della scheda SICI della corrispondente macro-categoria</t>
  </si>
  <si>
    <t>Scheda Informativa 1</t>
  </si>
  <si>
    <t xml:space="preserve">Partita IVA : </t>
  </si>
  <si>
    <t>01455570562</t>
  </si>
  <si>
    <t xml:space="preserve">Codice Fiscale : </t>
  </si>
  <si>
    <t xml:space="preserve">Telefono : </t>
  </si>
  <si>
    <t>0761/3391</t>
  </si>
  <si>
    <t xml:space="preserve">Email : </t>
  </si>
  <si>
    <t>prot.gen.asl.vt.it@legalmail.it</t>
  </si>
  <si>
    <t xml:space="preserve">Via : </t>
  </si>
  <si>
    <t>E. FERMI</t>
  </si>
  <si>
    <t xml:space="preserve">Numero Civico : </t>
  </si>
  <si>
    <t xml:space="preserve">C.A.P. : </t>
  </si>
  <si>
    <t>01100</t>
  </si>
  <si>
    <t xml:space="preserve">Citt? : </t>
  </si>
  <si>
    <t>VITERBO</t>
  </si>
  <si>
    <t xml:space="preserve">Provincia : </t>
  </si>
  <si>
    <t>VT</t>
  </si>
  <si>
    <t xml:space="preserve">Codice Catastale : </t>
  </si>
  <si>
    <t>M082</t>
  </si>
  <si>
    <t xml:space="preserve">Indirizzo pagina web dell'ente : </t>
  </si>
  <si>
    <t>www.asl.vt.it</t>
  </si>
  <si>
    <t>Responsabile del Procedimento Amministrativo di cui alla legge 7/8/90, N.241 Capo II</t>
  </si>
  <si>
    <t>Cognome</t>
  </si>
  <si>
    <t>Nome</t>
  </si>
  <si>
    <t>Telefono</t>
  </si>
  <si>
    <t>EMail</t>
  </si>
  <si>
    <t>DOGANIERO</t>
  </si>
  <si>
    <t>ROCCO</t>
  </si>
  <si>
    <t>rocco.doganiero@asl.vt.it</t>
  </si>
  <si>
    <t>Referente da contattare</t>
  </si>
  <si>
    <t>SAGLIMBENI</t>
  </si>
  <si>
    <t>SONIA</t>
  </si>
  <si>
    <t>0761/237335</t>
  </si>
  <si>
    <t>sonia.saglimbeni@asl.vt.it</t>
  </si>
  <si>
    <t>Riepilogo Domande Presenti Nella Circolare</t>
  </si>
  <si>
    <t>I modelli debbono essere sottoscritti dai revisori dei conti</t>
  </si>
  <si>
    <t xml:space="preserve">Domande presenti in circolare : </t>
  </si>
  <si>
    <t>INDICARE IL NUMERO DEI CONTRATTI DI COLLABORAZIONE COORDINATA E CONTINUATIVA.</t>
  </si>
  <si>
    <t>9</t>
  </si>
  <si>
    <t>INDICARE IL NUMERO DEGLI INCARICHI LIBERO PROFESSIONALE, DI STUDIO, RICERCA E CONSULENZA.</t>
  </si>
  <si>
    <t>179</t>
  </si>
  <si>
    <t>INDICARE IL NUMERO DI CONTRATTI PER PRESTAZIONI PROFESSIONALI CONSISTENTI NELLA RESA DI SERVIZI O ADEMPIMENTI OBBLIGATORI PER LEGGE.</t>
  </si>
  <si>
    <t>Numero di unit?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</si>
  <si>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</si>
  <si>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7630</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</si>
  <si>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</si>
  <si>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</si>
  <si>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</si>
  <si>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536</t>
  </si>
  <si>
    <t>INDICARE IL NUMERO DELLE UNITÀ RILEVATE IN TABELLA 1 TRA I "PRESENTI AL 31.12" CHE RISULTAVANO TITOLARI DI PERMESSI AI SENSI DELL'ART. 42, C.5 D.LGS.151/2001 E S.M.</t>
  </si>
  <si>
    <t>47</t>
  </si>
  <si>
    <t>INDICARE IL NUMERO DEI MEDICI CONVENZIONATI CUI È STATO CONFERITO L'INCARICO DI DIRETTORE DI DISTRETTO AI SENSI DELL'ART. 3-SEXIES, COMMA 3, DEL D.LGS. 502/92.</t>
  </si>
  <si>
    <t>INDICARE IL COSTO DEI MEDICI CONVENZIONATI CUI È STATO CONFERITO L'INCARICO DI DIRETTORE DI DISTRETTO AI SENSI DELL'ART. 3-SEXIES, COMMA 3, DEL D.LGS. 502/92.</t>
  </si>
  <si>
    <t>INDICARE IL NUMERO DEL PERSONALE RELIGIOSO CHE SULLA BASE DI SPECIFICHE CONVENZIONI PRESTA SERVIZIO PRESSO LA STRUTTURA SANITARIA</t>
  </si>
  <si>
    <t>INDICARE IL COSTO DEL PERSONALE RELIGIOSO CHE SULLA BASE DI SPECIFICHE CONVENZIONI PRESTA SERVIZIO PRESSO LA STRUTTURA SANITARIA</t>
  </si>
  <si>
    <t>50000</t>
  </si>
  <si>
    <t>NUMERO DI CONVENZIONI IN VIGORE NEL CORSO DELL'ANNO PER L'UTILIZZO DI PERSONALE PROVENIENTE DA ALTRE AMMINISTRAZIONI PUBBLICHE</t>
  </si>
  <si>
    <t>4</t>
  </si>
  <si>
    <t>UNITÀ DI PERS.DIRIGENTE PRESENTI IN TABELLA 1 PER LE QUALI SUSSISTE UN GIUDIZIO DI IDONEITÀ CONDIZIONATA ALLA MANSIONE EX ART. 41,C.6, LETT.B) D.LGS. 81/2008 CON SOLO RIFERIMENTO ALLE LIMITAZIONI</t>
  </si>
  <si>
    <t>13</t>
  </si>
  <si>
    <t>UNITÀ DI PERSONALE DIRIGENTE DI CUI ALLA PRECEDENTE DOMANDA PER LE QUALI IL GIUDIZIO DI IDONEITÀ CONDIZIONATA HA DETERMINATO L'ESCLUSIONE DALLA TURNAZIONE SULLE 24/ORE E DALLA PRONTA DISPONIBILITÀ</t>
  </si>
  <si>
    <t>23</t>
  </si>
  <si>
    <t>UNITÀ DI PERS. NON DIRIGENTE PRESENTI IN TABELLA 1 PER LE QUALI SUSSISTE UN GIUDIZIO DI IDONEITÀ CONDIZIONATA ALLA MANSIONE EX ART. 41,C.6, LETT.B) D.LGS. 81/2008 CON SOLO RIFERIMENTO ALLE LIMITAZIONI</t>
  </si>
  <si>
    <t>50</t>
  </si>
  <si>
    <t>UNITÀ DI PERS. NON DIRIGENTE DI CUI ALLA PRECEDENTE DOMANDA PER LE QUALI IL GIUDIZIO DI IDONEITÀ CONDIZIONATA HA DETERMINATO L'ESCLUSIONE DALLA TURNAZIONE SULLE 24 ORE E/O DALLA PRONTA DISPONIBILITÀ</t>
  </si>
  <si>
    <t>UNITÀ DI PERSONALE DIRIGENTE COLLOCATE IN ASPETTATIVA SENZA ASSEGNI PER ASSUNZIONE A TEMPO DETERMINATO PRESSO LA STESSA O ALTRA AMMINISTRAZIONE</t>
  </si>
  <si>
    <t>UNITÀ DI PERSONALE NON DIRIGENTE COLLOCATE IN ASPETTATIVA SENZA ASSEGNI PER ASSUNZIONE A TEMPO DETERMINATO PRESSO LA STESSA O ALTRA AMMINISTRAZIONE</t>
  </si>
  <si>
    <t>INDICARE IL NUMERO DELLE ORE DI SERVIZIO EFFETTUATE NEL CORSO DELL'ANNO DI RILEVAZIONE DAGLI SPECIALISTI AMBULATORIALI INTERNI</t>
  </si>
  <si>
    <t>101946</t>
  </si>
  <si>
    <t>INDICARE IL COSTO DEGLI SPECIALISTI AMBULATORIALI INTERNI</t>
  </si>
  <si>
    <t>4441945</t>
  </si>
  <si>
    <t>INDICARE IL COSTO DEI MEDICI ADDETTI ALLE ATTIVITA' DELLA MEDICINA DEI SERVIZI TERRITORIALI</t>
  </si>
  <si>
    <t>675215</t>
  </si>
  <si>
    <t>NUMERO DEGLI INCARICHI DI LAVORO AUTONOMO E DI CO.CO.CO. CONFERITI AI SENSI DELL'ART. 2-BIS D.L. 18/2020 CON DISPOSIZIONI APPLICABILI AL 2021 AI SENSI ART. 1,COMMA 423 LEGGE 178/2020</t>
  </si>
  <si>
    <t>156</t>
  </si>
  <si>
    <t>COSTO SOSTENUTO PER INCARICHI DI LAVORO AUTONOMO E DI CO.CO.CO. CONFERITI AI SENSI DELL'ART. 2-BIS D.L. 18/2020 CON DISPOSIZIONI APPLICABILI AL 2021 AI SENSI ART. 1,COMMA 423 LEGGE 178/2020</t>
  </si>
  <si>
    <t>4816017</t>
  </si>
  <si>
    <t>INDICARE LE UNITÀ DI PERSONALE CON INCARICO INDIVIDUALE A TEMPO DETERMINATO CONFERITO AI SENSI DELL'ART.2-TER D.L. 18/2020 CON DISPOSIZIONI APPLICABILI AL 2021 AI SENSI ART. 1,COMMA 423 LEGGE 178/2020</t>
  </si>
  <si>
    <t>233</t>
  </si>
  <si>
    <t>COSTO SOSTENUTO PER LE UNITÀ DI PERSONALE CON INCARICO INDIVIDUALE A T. DETERM. CONFERITO AI SENSI DELL'ART.2-TER D.L.18/2020 CON DISPOSIZIONI APPLICABILI AL 2021 AI SENSI ART. 1,C. 423 LEGGE 178/2020</t>
  </si>
  <si>
    <t>9090406</t>
  </si>
  <si>
    <t>INDICARE IL NUMERO DELLE UNITÀ DI PERSONALE A TEMPO INDETERMINATO RECLUTATE AI SENSI DELL'ART. 1, COMMA 5, ULTIMO PERIODO DEL D.L. 34/2020 PRESENTI AL 31.12.2021 (INFERMIERI DI FAMIGLIA O DI COMUNITÀ)</t>
  </si>
  <si>
    <t>12</t>
  </si>
  <si>
    <t>INDICARE IL COSTO SOSTENUTO PER SPESA DI PERSONALE AI SENSI DELL'ART. 1, COMMI 4 E 8, DEL D.L. 34/2020</t>
  </si>
  <si>
    <t>894349</t>
  </si>
  <si>
    <t>INDICARE IL NUMERO DI PERSONALE ASSUNTO AI SENSI DELL'ART. 2, COMMA 5, SECONDO PERIODO DEL D.L. 34/2020</t>
  </si>
  <si>
    <t>INDICARE IL COSTO SOSTENUTO PER PERSONALE ASSUNTO AI SENSI DELL'ART. 2, COMMA 5, SECONDO PERIODO DEL D.L. 34/2020</t>
  </si>
  <si>
    <t xml:space="preserve">Note e chiarimenti alla rilevazione : </t>
  </si>
  <si>
    <t>Il Collegio sindacale indicato ha concluso il proprio periodo di prorogatio (scaduto in data 9 agosto 22). Il nuovo collegio sindacale, alla data del 26 settembre 22, non risulta nominato.</t>
  </si>
  <si>
    <t>Appendice gestione dati co.co.co.</t>
  </si>
  <si>
    <t>Quanti sono stati i contratti di collaborazione coordinata e continuativa o convenzioni (art.1, c. 116 legge n. 311/04) ?</t>
  </si>
  <si>
    <t>Qual ? stata la tipologia dell'incarico dei contratti co.co.co. attivi nel corso dell'anno:</t>
  </si>
  <si>
    <t>a) Tecnico</t>
  </si>
  <si>
    <t>b) Giuridico/Amministrativo</t>
  </si>
  <si>
    <t>c) Sanitario</t>
  </si>
  <si>
    <t>Quanti dei contratti co.co.co attivi nel corso dell'anno hanno un compenso maggiore di 20.000 ??</t>
  </si>
  <si>
    <t>Suddividere i contratti co.co.co. attivi nel corso dell'anno secondo la loro durata:</t>
  </si>
  <si>
    <t>a) 1 - 3 mesi</t>
  </si>
  <si>
    <t>6</t>
  </si>
  <si>
    <t>b) 4 - 6 mesi</t>
  </si>
  <si>
    <t>c) 7 - 12 mesi</t>
  </si>
  <si>
    <t>d) oltre 12 mesi</t>
  </si>
  <si>
    <t>I co.co.co attivi nel corso dell'anno quante persone diverse hanno riguardato?</t>
  </si>
  <si>
    <t>Titolo di studio delle persone cui sono stati stipulati uno o pi? contratti co.co.co.:</t>
  </si>
  <si>
    <t>a) Laurea</t>
  </si>
  <si>
    <t>b) Diploma superiore</t>
  </si>
  <si>
    <t>c) Diploma inferiore</t>
  </si>
  <si>
    <t>Componenti Collegio dei Revisori (o Organo Equivalente)</t>
  </si>
  <si>
    <t>EMail (sostituisce l'ENTE RAPPRESENTATO delle rilevazioni precedenti)</t>
  </si>
  <si>
    <t>FAZI</t>
  </si>
  <si>
    <t>VALERIA</t>
  </si>
  <si>
    <t>valeria.fazi@revisionelegale.net</t>
  </si>
  <si>
    <t>CIANCOLI</t>
  </si>
  <si>
    <t>ANNA RITA</t>
  </si>
  <si>
    <t>annarita.ciancoli@mef.gov.it</t>
  </si>
  <si>
    <t>FONTENOVA</t>
  </si>
  <si>
    <t>ROBERTO</t>
  </si>
  <si>
    <t>roberto.fontenova@gmail.com</t>
  </si>
  <si>
    <t>LA SALVIA</t>
  </si>
  <si>
    <t>GERARDO</t>
  </si>
  <si>
    <t xml:space="preserve"> </t>
  </si>
  <si>
    <t>SMERIGLIO</t>
  </si>
  <si>
    <t>CARLO</t>
  </si>
  <si>
    <t>GRANDIS</t>
  </si>
  <si>
    <t>CLARA</t>
  </si>
  <si>
    <t xml:space="preserve">Macrocategoria : </t>
  </si>
  <si>
    <t>FONDO RELATIVO ALL'ANNO DI RILEVAZIONE / TEMPISTICA DELLA C.I.</t>
  </si>
  <si>
    <t>In caso di certificazione disgiunta: data di certificazione della sola costituzione del fondo/i specificamente riferita all'anno di rilevazione (art. 40-bis, c.1 del Dlgs 165/2001)</t>
  </si>
  <si>
    <t>In caso di certificazione disgiunta: data di certificazione del solo contratto integrativo economico specificamente riferito al fondo/i dell'anno di rilevazione, sulla base di certificazione costituzione fondo effettuata in precedenza (art. 40-bis, c.1 del Dlgs 165/2001)</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</si>
  <si>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</si>
  <si>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</si>
  <si>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RISPETTO DI SPECIFICI LIMITI DI LEGGE</t>
  </si>
  <si>
    <t>Importo del limite 2016 riferito alla presente macrocategoria (euro)</t>
  </si>
  <si>
    <t>di cui variazione del limite in aumento rispetto al 2016 (in aumento o in diminuzione rispetto all'anno precedente) ex art. 11, comma 1 del DL n. 35/2019 (c.d. Decreto Calabria, in euro)</t>
  </si>
  <si>
    <t>Totale risorse della tabella 15 (e, ove previste, anche della sezione LEG della scheda SICI) della presente macro-categoria non rilevanti ai fini della verifica del limite art. 23 c. 2 Dlgs 75/2017 (euro)</t>
  </si>
  <si>
    <t>(eventuale) Importo della decurtazione operata complessivamente sui fondi per la contrattazione integrativa dell'anno corrente a seguito della rideterminazione delle strutture ai sensi dell'art. 9-quinquies del DL 78/2015 (euro)</t>
  </si>
  <si>
    <t>ORGANIZZAZIONE E INCARICHI</t>
  </si>
  <si>
    <t>Numero di incarichi di struttura complessa effettivamente coperti al 31.12 dell'anno di rilevazione (art. 18, comma 1, sezione i), lettera a) del Ccnl 2016-18)</t>
  </si>
  <si>
    <t>37</t>
  </si>
  <si>
    <t>Valore medio su base annua della retribuzione di posizione - parte variabile aziendale - incarichi di struttura complessa (euro)</t>
  </si>
  <si>
    <t>16713</t>
  </si>
  <si>
    <t>Numero di incarichi di struttura semplice a valenza dipartimentale o distrettuale effettivamente coperti al 31.12 dell'anno di rilevazione (art. 18, comma 1, sezione i), lettera b) del Ccnl 2016-18)</t>
  </si>
  <si>
    <t>29</t>
  </si>
  <si>
    <t>Valore medio su base annua della retribuzione di posizione - parte variabile aziendale - incarichi di struttura semplice a valenza dipartimentale o distrettuale (art. 18, comma 1, sezione i), lettera b) del Ccnl 2016-18, euro)</t>
  </si>
  <si>
    <t>7658</t>
  </si>
  <si>
    <t>Numero di incarichi di struttura semplice quale articolazione interna di struttura complessa effettivamente coperti al 31.12 dell'anno di rilevazione (art. 18, comma 1, sezione i), lettera c) del Ccnl 2016-18)</t>
  </si>
  <si>
    <t>28</t>
  </si>
  <si>
    <t>Valore medio su base annua della retribuzione di posizione - parte variabile aziendale - incarichi di struttura semplice articolazioni di struttura complessa (art. 18, comma 1, sezione i), lettera c) del Ccnl 2016-18, euro)</t>
  </si>
  <si>
    <t>6259</t>
  </si>
  <si>
    <t>Numero di incarichi di altissima professionalità a valenza dipartimentale effettivamente coperti al 31.12 dell'anno di rilevazione (art. 18, comma 1, sezione ii), lettera a1) del Ccnl 2016-18)</t>
  </si>
  <si>
    <t>Valore medio su base annua della retribuzione di posizione - parte variabile aziendale - incarichi di altissima professionalità a valenza dipartimentale (art. 18, comma 1, sezione ii), lettera a1) del Ccnl 2016-18, euro)</t>
  </si>
  <si>
    <t>Numero di incarichi di altissima professionalità articolazioni di struttura complessa effettivamente coperti al 31.12 dell'anno di rilevazione (art. 18, comma 1, sezione ii), lettera a2) del Ccnl 2016-18)</t>
  </si>
  <si>
    <t>Valore medio su base annua della retribuzione di posizione - parte variabile aziendale - incarichi di altissima professionalità articolazioni di struttura complessa (art. 18, comma 1, sezione ii), lettera a2) del Ccnl 2016-18, euro)</t>
  </si>
  <si>
    <t>Numero di incarichi professionali di alta specializzazione effettivamente coperti al 31.12 dell'anno di rilevazione (art. 18, comma 1, sezione ii), lettera b) del Ccnl 2016-18)</t>
  </si>
  <si>
    <t>152</t>
  </si>
  <si>
    <t>Valore medio su base annua della retribuzione di posizione - parte variabile aziendale - incarichi di alta specializzazione (art. 18, comma 1, sezione ii), lettera b) del Ccnl 2016-18, euro)</t>
  </si>
  <si>
    <t>5905</t>
  </si>
  <si>
    <t>Numero di incarichi professionali, di consulenza, di studio e di ricerca, ispettivo, di verifica e di controllo coperti al 31.12 dell'anno di rilevazione (art. 18, comma 1, sezione ii), lettera c) del Ccnl 2016-18)</t>
  </si>
  <si>
    <t>132</t>
  </si>
  <si>
    <t>Valore medio su base annua della retribuzione di posizione - parte variabile aziendale - incarichi professionali, di consulenza, ecc.  (art. 18, comma 1, sezione ii), lettera c) del Ccnl 2016-18, euro)</t>
  </si>
  <si>
    <t>3040</t>
  </si>
  <si>
    <t>Numero di incarichi professionali di base coperti al 31.12 dell'anno di rilevazione (art. 18, comma 1, sezione ii), lettera d) del Ccnl 2016-18)</t>
  </si>
  <si>
    <t>Valore medio su base annua della retribuzione di posizione - parte variabile aziendale - incarichi professionali di base (art. 18, comma 1, sezione ii), lettera d) del Ccnl 2016-18, euro)</t>
  </si>
  <si>
    <t>1393</t>
  </si>
  <si>
    <t>Numero di posizioni dirigenziali effettivamente coperte alla data del 31.12 dell'anno di rilevazione con incarico ad interim</t>
  </si>
  <si>
    <t>7</t>
  </si>
  <si>
    <t>Valore medio su base annua della retribuzione per gli incarichi dirigenziali ad interim (risultato in euro)</t>
  </si>
  <si>
    <t>PERFORMANCE / RISULTATO</t>
  </si>
  <si>
    <t>Importo totale della retribuzione di risultato erogata a valere sul fondo dell'anno di rilevazione (euro)</t>
  </si>
  <si>
    <t>2810955</t>
  </si>
  <si>
    <t>Importo totale della retribuzione di risultato non erogata a seguito della valutazione non piena con riferimento al fondo dell'anno di rilevazione (euro)</t>
  </si>
  <si>
    <t>123763</t>
  </si>
  <si>
    <t>Le retribuzioni di risultato sono correlate alla valutazione della prestazione dei dirigenti (S/N)?</t>
  </si>
  <si>
    <t>SI</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</si>
  <si>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</si>
  <si>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</si>
  <si>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</si>
  <si>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INFORMAZIONI / CHIARIMENTI</t>
  </si>
  <si>
    <t>Informazioni/chiarimenti da parte dell'Organo di controllo (max 1.500 caratteri)</t>
  </si>
  <si>
    <t>Informazioni/chiarimenti da parte dell'Amministrazione (max 1.500 caratteri)</t>
  </si>
  <si>
    <t>Numero di incarichi di direzione di struttura complessa effettivamente coperti al 31.12 dell'anno di rilevazione</t>
  </si>
  <si>
    <t>13839</t>
  </si>
  <si>
    <t>Numero di incarichi di direzione di di struttura semplice effettivamente coperti al 31.12 dell'anno di rilevazione</t>
  </si>
  <si>
    <t>Valore medio su base annua della retribuzione di posizione - parte variabile aziendale - incarichi di struttura semplice (euro)</t>
  </si>
  <si>
    <t>18023</t>
  </si>
  <si>
    <t>Numero degli incarichi di cui all'art. 27, c. 1, lett. c) e d) del Ccnl 8.6.2000 effettivamente coperti al 31.12 dell'anno di rilevazione</t>
  </si>
  <si>
    <t>Valore medio su base annua della retribuzione di posizione - parte variabile aziendale - per incarichi di cui all'art. 27, c. 1, lett. c) e d) del Ccnl 8.6.2000 (euro)</t>
  </si>
  <si>
    <t>2541</t>
  </si>
  <si>
    <t>149814</t>
  </si>
  <si>
    <t>Importo del limite di cui all'art. 9, comma 28 del decreto legge n. 78/2010 riferito all'anno corrente (euro)</t>
  </si>
  <si>
    <t>Importo del limite di cui all'art. 9, comma 28 del decreto legge n. 78/2010 utilizzato ai fini delle assunzioni effettuate nell'anno corrente ai sensi dell'art. 20, comma 3 del Dlgs 75/2017 (stipendio, accessorio e O.R. a carico dell'amministrazione)</t>
  </si>
  <si>
    <t>Numero totale degli incarichi funzionali ai sensi degli artt. 14, 16 e 17 del Ccnl 22.5.2018 previsti nellordinamento</t>
  </si>
  <si>
    <t>166</t>
  </si>
  <si>
    <t>Numero di incarichi funzionali effettivamente coperti alla data del 31.12 dell'anno di rilevazione con valore dell'indennità più elevato</t>
  </si>
  <si>
    <t>Numero di incarichi funzionali effettivamente coperti alla data del 31.12 dell'anno di rilevazione con valore dell'indennità meno elevato</t>
  </si>
  <si>
    <t>73</t>
  </si>
  <si>
    <t>Numero di incarichi funzionali effettivamente coperti alla data del 31.12 dell'anno di rilevazione con valore dell'indennità intermedio</t>
  </si>
  <si>
    <t>69</t>
  </si>
  <si>
    <t>Valore unitario su base annua dell'indennità per incarico funzionale più elevato (euro)</t>
  </si>
  <si>
    <t>12000</t>
  </si>
  <si>
    <t>Valore unitario su base annua dell'indennità per incarico funzionale meno elevato (euro)</t>
  </si>
  <si>
    <t>1678</t>
  </si>
  <si>
    <t>Valore unitario su base annua dell'indennità per incarico funzionale previsto con valore intermedio (valore medio in euro)</t>
  </si>
  <si>
    <t>4594</t>
  </si>
  <si>
    <t>PROGRESSIONI ECONOMICHE ORIZZONTALI A VALERE SUL FONDO DELL'ANNO DI RILEVAZIONE</t>
  </si>
  <si>
    <t>E' stata verificata la sussistenza del requisito di cui all'art. 3, c. 1 del Ccnl 10.4.2008 secondo la disciplina di cui all'art. 35 del Ccnl 7.4.1999 (S/N)?</t>
  </si>
  <si>
    <t>Numero dei dipendenti che hanno concorso alle procedure per le PEO a valere sul fondo dell'anno di rilevazione</t>
  </si>
  <si>
    <t>1279</t>
  </si>
  <si>
    <t>Numero totale delle PEO effettuate a valere sul fondo dell'anno di rilevazione</t>
  </si>
  <si>
    <t>458</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</si>
  <si>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</si>
  <si>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il principio di non retrodatazione oltre il 1 gennaio dell'anno di conclusione del procedimento (S/N)?</t>
  </si>
  <si>
    <t>Importo delle risorse destinate alle PEO contrattate e certificate a valere sul fondo dell'anno di rilevazione (euro)</t>
  </si>
  <si>
    <t>388037</t>
  </si>
  <si>
    <t>L'ente ha rispettato l'indicazione di cui all'art. 84 del Ccnl 22.5.2018 di destinare almeno il 30% delle risorse variabili del fondo dell'anno di rilevazione a performance Individuale (S/N)?</t>
  </si>
  <si>
    <t>Importo totale della performance individuale erogata a valere sul fondo dell'anno di rilevazione (euro)</t>
  </si>
  <si>
    <t>1204182</t>
  </si>
  <si>
    <t>Importo totale della performance organizzativa erogata a valere sul fondo dell'anno di rilevazione (euro)</t>
  </si>
  <si>
    <t>Importo totale della performance (individuale e organizzativa) non erogata a seguito della valutazione non piena con riferimento al fondo dell'anno di rilevazione (euro)</t>
  </si>
  <si>
    <t>108205</t>
  </si>
  <si>
    <t>T1 Personale a Tempo Indeterminato</t>
  </si>
  <si>
    <t>Qualifica</t>
  </si>
  <si>
    <t>Tempo Pieno</t>
  </si>
  <si>
    <t>Part Time Inf. 50%</t>
  </si>
  <si>
    <t>Part Time Sup. 50%</t>
  </si>
  <si>
    <t>Totale Dipendenti al 31/12</t>
  </si>
  <si>
    <t>TOTALE GENERALE</t>
  </si>
  <si>
    <t>U</t>
  </si>
  <si>
    <t>D</t>
  </si>
  <si>
    <t>DIRETTORE GENERALE</t>
  </si>
  <si>
    <t>DIRETTORE SANITARIO</t>
  </si>
  <si>
    <t>DIRETTORE AMMINISTRATIVO</t>
  </si>
  <si>
    <t>DIR. MEDICO CON INC. STRUTTURA COMPLESSA (RAPP. ESCLUSIVO)</t>
  </si>
  <si>
    <t>DIR. MEDICO CON INC. DI STRUTTURA COMPLESSA (RAPP. NON ESCL.</t>
  </si>
  <si>
    <t>DIR. MEDICO CON INCARICO DI STRUTTURA SEMPLICE (RAPP. ESCLUS</t>
  </si>
  <si>
    <t>DIR. MEDICO CON INCARICO STRUTTURA SEMPLICE (RAPP. NON ESCL.</t>
  </si>
  <si>
    <t>DIRIGENTI MEDICI CON ALTRI INCAR. PROF.LI (RAPP. ESCLUSIVO)</t>
  </si>
  <si>
    <t>DIRIGENTI MEDICI CON ALTRI INCAR. PROF.LI (RAPP. NON ESCL.)</t>
  </si>
  <si>
    <t>VETERINARI CON INC. DI STRUTTURA SEMPLICE (RAPP. ESCLUSIVO)</t>
  </si>
  <si>
    <t>VETERINARI CON ALTRI INCAR. PROF.LI (RAPP. ESCLUSIVO)</t>
  </si>
  <si>
    <t>FARMACISTI CON INC. DI STRUTTURA COMPLESSA (RAPP. ESCLUSIVO)</t>
  </si>
  <si>
    <t>FARMACISTI CON INC. DI STRUTTURA SEMPLICE (RAPP. ESCLUSIVO)</t>
  </si>
  <si>
    <t>FARMACISTI CON ALTRI INCAR. PROF.LI (RAPP. ESCLUSIVO)</t>
  </si>
  <si>
    <t>BIOLOGI CON INC. DI STRUTTURA SEMPLICE (RAPP. ESCLUSIVO)</t>
  </si>
  <si>
    <t>BIOLOGI CON ALTRI INCAR. PROF.LI (RAPP. ESCLUSIVO)</t>
  </si>
  <si>
    <t>FISICI CON INC. DI STRUTTURA SEMPLICE (RAPP. ESCLUSIVO)</t>
  </si>
  <si>
    <t>FISICI CON ALTRI INCAR. PROF.LI (RAPP. ESCLUSIVO)</t>
  </si>
  <si>
    <t>PSICOLOGI CON ALTRI INCAR. PROF.LI (RAPP. ESCLUSIVO)</t>
  </si>
  <si>
    <t>PSICOLOGI CON ALTRI INCAR. PROF.LI (RAPP. NON ESCL.)</t>
  </si>
  <si>
    <t>DIRIGENTE PROF. SANIT. INFERM/OSTETRICA (INC. STRUT. COMPL.)</t>
  </si>
  <si>
    <t>DIRIGENTE PROF. SANIT. INFERM/OSTETRICA (INC. STRUT. SEMPL.)</t>
  </si>
  <si>
    <t>DIRIGENTE PROF. SANIT. INFERM/OSTETRICA (ALTRI INC. PROF.LI)</t>
  </si>
  <si>
    <t>DIRIGENTE PROF. TECNICO SANITARIE (ALTRI INC. PROF.LI)</t>
  </si>
  <si>
    <t>DIRIGENTE PROF.TECNICHE DELLA PREVENZIONE(ALTRI INC.PROF.LI)</t>
  </si>
  <si>
    <t>COLL.RE PROF.LE SANITARIO - PERS. INFER. SENIOR - DS</t>
  </si>
  <si>
    <t>COLL.RE PROF.LE SANITARIO - PERS. INFER. - D</t>
  </si>
  <si>
    <t>OPER.RE PROF.LE DI II CAT.PERS. INFERM.  SENIOR-C</t>
  </si>
  <si>
    <t>COLL.RE PROF.LE SANITARIO - PERS. TEC. SENIOR - DS</t>
  </si>
  <si>
    <t>COLL.RE PROF.LE SANITARIO - PERS. TEC.- D</t>
  </si>
  <si>
    <t>COLL.RE PROF.LE SANITARIO - TECN. DELLA PREV. SENIOR - DS</t>
  </si>
  <si>
    <t>COLL.RE PROF.LE SANITARIO - TECN. DELLA PREV. - D</t>
  </si>
  <si>
    <t>COLL.RE PROF.LE SANITARIO - PERS. DELLA RIABIL. SENIOR - DS</t>
  </si>
  <si>
    <t>COLL.RE PROF.LE SANITARIO - PERS. DELLA RIABIL. - D</t>
  </si>
  <si>
    <t>AVVOCATO DIRIG. CON ALTRI INCAR.PROF.LI</t>
  </si>
  <si>
    <t>INGEGNERE DIRIG. CON INCARICO DI STRUTTURA COMPLESSA</t>
  </si>
  <si>
    <t>INGEGNERE DIRIG. CON INCARICO DI STRUTTURA SEMPLICE</t>
  </si>
  <si>
    <t>INGEGNERE DIRIG. CON ALTRI INCAR.PROF.LI</t>
  </si>
  <si>
    <t>ANALISTI DIRIG. CON INCARICO DI STRUTTURA COMPLESSA</t>
  </si>
  <si>
    <t>SOCIOLOGO DIRIG. CON INCARICO DI STRUTTURA SEMPLICE</t>
  </si>
  <si>
    <t>COLLAB.RE PROF.LE ASSISTENTE SOCIALE SENIOR - DS</t>
  </si>
  <si>
    <t>COLLAB.RE PROF.LE ASSISTENTE SOCIALE - D</t>
  </si>
  <si>
    <t>COLLAB.RE TEC. - PROF.LE SENIOR - DS</t>
  </si>
  <si>
    <t>COLLAB.RE TEC. - PROF.LE - D</t>
  </si>
  <si>
    <t>ASSISTENTE TECNICO - C</t>
  </si>
  <si>
    <t>PROGRAM.RE - C</t>
  </si>
  <si>
    <t>OPERATORE TECNICO SPECIAL.TO SENIOR - C</t>
  </si>
  <si>
    <t>OPERATORE TECNICO SPECIAL.TO - BS</t>
  </si>
  <si>
    <t>OPERATORE SOCIO SANITARIO - BS</t>
  </si>
  <si>
    <t>OPERATORE TECNICO - B</t>
  </si>
  <si>
    <t>OPERATORE TECNICO ADDETTO ALL ASSISTENZA - B</t>
  </si>
  <si>
    <t>AUSILIARIO SPECIALIZZATO - A</t>
  </si>
  <si>
    <t>DIRIGENTE AMM.VO CON INCARICO DI STRUTTURA SEMPLICE</t>
  </si>
  <si>
    <t>DIRIGENTE AMM.VO CON ALTRI INCAR.PROF.LI</t>
  </si>
  <si>
    <t>COLLABORATORE AMMINISTRATIVO PROF.LE SENIOR - DS</t>
  </si>
  <si>
    <t>COLLABORATORE AMMINISTRATIVO PROF.LE - D</t>
  </si>
  <si>
    <t>ASSISTENTE AMMINISTRATIVO - C</t>
  </si>
  <si>
    <t>COADIUTORE AMM.VO SENIOR - BS</t>
  </si>
  <si>
    <t>COADIUTORE AMM.VO - B</t>
  </si>
  <si>
    <t>COMMESSO - A</t>
  </si>
  <si>
    <t>T1a Personale dell'azienda sanitaria per figura professionale</t>
  </si>
  <si>
    <t>Figura Professionale</t>
  </si>
  <si>
    <t>Tempo Indeterminato</t>
  </si>
  <si>
    <t>Tempo Determinato</t>
  </si>
  <si>
    <t>Com. Da Altri Enti</t>
  </si>
  <si>
    <t>Com. Ad Altri Enti</t>
  </si>
  <si>
    <t>Presenti Al 31/12</t>
  </si>
  <si>
    <t>Tempo Parz.</t>
  </si>
  <si>
    <t>U(a)</t>
  </si>
  <si>
    <t>D(b)</t>
  </si>
  <si>
    <t>U(c)</t>
  </si>
  <si>
    <t>D(d)</t>
  </si>
  <si>
    <t>U(a+c)</t>
  </si>
  <si>
    <t>D(b+d)</t>
  </si>
  <si>
    <t>PROFESSIONI SANITARIE INFERMIERISTICHE</t>
  </si>
  <si>
    <t>COLLABORATORE PROFESSIONALE SANITARIO</t>
  </si>
  <si>
    <t>INFERMIERE</t>
  </si>
  <si>
    <t>OSTETRICA</t>
  </si>
  <si>
    <t>INFERMIERE PEDIATRICO</t>
  </si>
  <si>
    <t>OPERATORE PROFESSIONALE SANITARIO</t>
  </si>
  <si>
    <t>PROFESSIONI TECNICO SANITARIE E DELLA PREVENZIONE</t>
  </si>
  <si>
    <t>DIETISTA</t>
  </si>
  <si>
    <t>TECNICO AUDIOMETRISTA</t>
  </si>
  <si>
    <t>ASSISTENTE SANITARIO</t>
  </si>
  <si>
    <t>TECNICO DELLA PREVENZIONE NELL AMBIENTE E NEI LUOGHI DI LAVORO</t>
  </si>
  <si>
    <t>TECNICO SANITARIO DI LABORATORIO BIOMEDICO</t>
  </si>
  <si>
    <t>TECNICO SANITARIO DI RADIOLOGIA MEDICA</t>
  </si>
  <si>
    <t>PROFESSIONI SANITARIE RIABILITATIVE</t>
  </si>
  <si>
    <t>FISIOTERAPISTA</t>
  </si>
  <si>
    <t>LOGOPEDISTA</t>
  </si>
  <si>
    <t>ORTOTTISTA-ASSISTENTE DI OFTALMOLOGIA</t>
  </si>
  <si>
    <t>EDUCATORE PROFESSIONALE</t>
  </si>
  <si>
    <t>TERAPISTA DELLA NEURO E PSICOMOTRICITA DELL ETA  EVOLUTIVA</t>
  </si>
  <si>
    <t>TECNICO DELL'EDUCAZIONE E RIABILIT. PSICHIATRICA E PSICOSOCIALE</t>
  </si>
  <si>
    <t>T1B Personale a Tempo Pieno e Parziale Aziende Sanitarie Universitarie</t>
  </si>
  <si>
    <t xml:space="preserve"> LA TABELLA NON RISULTA RILEVATA </t>
  </si>
  <si>
    <t>T1e Fasce Retribuzione</t>
  </si>
  <si>
    <t>Con trattamento economico iniziale</t>
  </si>
  <si>
    <t>I Fascia</t>
  </si>
  <si>
    <t>II Fascia</t>
  </si>
  <si>
    <t>III Fascia</t>
  </si>
  <si>
    <t>IV Fascia</t>
  </si>
  <si>
    <t>V Fascia</t>
  </si>
  <si>
    <t>VI Fascia</t>
  </si>
  <si>
    <t>Totale (Presenti al 31/12)</t>
  </si>
  <si>
    <t>T1f Dirigenti medici distinti per specialità in servizio al 31/12</t>
  </si>
  <si>
    <t>(*) La figura professionale evidenziata non concorre a determinare i totali di colonna</t>
  </si>
  <si>
    <t>Specializzazioni</t>
  </si>
  <si>
    <t>15 septies (D.Lgs 502/92)</t>
  </si>
  <si>
    <t>Medici Universitari</t>
  </si>
  <si>
    <t>Specialisti Ambulatoriali Convenzionati (*)</t>
  </si>
  <si>
    <t>Totale Personale</t>
  </si>
  <si>
    <t>U (a)</t>
  </si>
  <si>
    <t>D (b)</t>
  </si>
  <si>
    <t>U (c)</t>
  </si>
  <si>
    <t>D (d)</t>
  </si>
  <si>
    <t>U (e)</t>
  </si>
  <si>
    <t>D (f)</t>
  </si>
  <si>
    <t xml:space="preserve">U </t>
  </si>
  <si>
    <t xml:space="preserve">D </t>
  </si>
  <si>
    <t>U (a+c+e)</t>
  </si>
  <si>
    <t>D (b+d+f)</t>
  </si>
  <si>
    <t>CHIRURGIA GENERALE</t>
  </si>
  <si>
    <t>DERMATOLOGIA E VENEREOLOGIA</t>
  </si>
  <si>
    <t>ENDOCRINOLOGIA E MALATTIE DEL METABOLISMO</t>
  </si>
  <si>
    <t>FARMACOLOGIA E TOSSICOLOGIA CLINICA</t>
  </si>
  <si>
    <t>GINECOLOGIA E OSTETRICIA</t>
  </si>
  <si>
    <t>MEDICINA DEL LAVORO</t>
  </si>
  <si>
    <t>MEDICINA INTERNA</t>
  </si>
  <si>
    <t>MEDICINA LEGALE</t>
  </si>
  <si>
    <t>NEFROLOGIA</t>
  </si>
  <si>
    <t>NEUROPSICHIATRIA INFANTILE</t>
  </si>
  <si>
    <t>ORTOPEDIA E TRAUMATOLOGIA</t>
  </si>
  <si>
    <t>PEDIATRIA</t>
  </si>
  <si>
    <t>PSICHIATRIA</t>
  </si>
  <si>
    <t>RADIODIAGNOSTICA</t>
  </si>
  <si>
    <t>MEDICINA D'EMERGENZA-URGENZA</t>
  </si>
  <si>
    <t>STATISTICA SANITARIA E BIOMETRIA</t>
  </si>
  <si>
    <t>T1g Strutture, Posizioni e Incarichi</t>
  </si>
  <si>
    <t>Figure</t>
  </si>
  <si>
    <t>Strutture</t>
  </si>
  <si>
    <t>Posizioni</t>
  </si>
  <si>
    <t>Azienda</t>
  </si>
  <si>
    <t>OSPEDALE DI ACQUAPENDENTE</t>
  </si>
  <si>
    <t>OSPEDALE DI CIVITACASTELLANA</t>
  </si>
  <si>
    <t>OSPEDALE DI TARQUINIA</t>
  </si>
  <si>
    <t>OSPEDALE DI BELCOLLE</t>
  </si>
  <si>
    <t>Medici Odontoiatri e Veterinari</t>
  </si>
  <si>
    <t>Dipartimenti</t>
  </si>
  <si>
    <t>Previste</t>
  </si>
  <si>
    <t>Assegnati a personale a tempo indeterminato</t>
  </si>
  <si>
    <t>Strutture Complesse (art.18, comma 1, I), lett. a)</t>
  </si>
  <si>
    <t>Assegnate a personale a tempo indeterminato</t>
  </si>
  <si>
    <t>Strutture Semplici a Valenza Dipartimentale (art.18, comma 1, I), lett. b)</t>
  </si>
  <si>
    <t>Strutture Semplici (art.18, comma 1, I), lett. c)</t>
  </si>
  <si>
    <t>Alta Specializzazione (art.18, comma 1, II), lett. b)</t>
  </si>
  <si>
    <t>Consulenza, Studio e Ricerca, Ispett., Verif. e Contr.(art.18, c.1, II),lett.c)</t>
  </si>
  <si>
    <t>Professionale di Base (art.18, comma 1, II), lett. d)</t>
  </si>
  <si>
    <t>Biologi, Chimici, Farmacisti, Fisici, Psicologi</t>
  </si>
  <si>
    <t>Dirigenti Professioni Sanitarie</t>
  </si>
  <si>
    <t>Previsti</t>
  </si>
  <si>
    <t>Dirigenti  Professionali, Tecnici, Amministrativi</t>
  </si>
  <si>
    <t>Strutture Complesse (art.70 comma 1 lett.a)</t>
  </si>
  <si>
    <t>Strutture Semplici anche a Valenza Dipartiment.o Distret.(art.70,comma 1 lett.b)</t>
  </si>
  <si>
    <t xml:space="preserve">Incarico Professionale Alta specializzazione (art.70 comma 1 lett. c)  </t>
  </si>
  <si>
    <t>Personale non dirigente</t>
  </si>
  <si>
    <t>Incarico di Organizzazione - Ruolo Sanitario</t>
  </si>
  <si>
    <t xml:space="preserve">Assegnati </t>
  </si>
  <si>
    <t xml:space="preserve">Con funzione di Coordinamento </t>
  </si>
  <si>
    <t>Incarichi di posizione organizzativa precedentemente attribuiti, ancora attivi</t>
  </si>
  <si>
    <t>Incarico di Organizzazione - Profili di Collab. Profess. di Assistente Sociale</t>
  </si>
  <si>
    <t>Incarico di Organizzazione - Ruolo Tecnico</t>
  </si>
  <si>
    <t>Incarico di Organizzazione - Ruolo Amministrativo</t>
  </si>
  <si>
    <t>T2 Personale con Contratto o Modalit?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</si>
  <si>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</si>
  <si>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</si>
  <si>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</si>
  <si>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</si>
  <si>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</si>
  <si>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</si>
  <si>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 - Personale indicato in T1</t>
  </si>
  <si>
    <t>CHIMICI</t>
  </si>
  <si>
    <t>PROFILI RUOLO PROFESSIONALE</t>
  </si>
  <si>
    <t>T2A Personale con Rapporto di Lavoro Flessibile</t>
  </si>
  <si>
    <t>Anzianit? di servizio maturata al 31/12, anche in modo non continuativo, nell'attuale o in altre amministrazioni</t>
  </si>
  <si>
    <t>Fino a 1 anno</t>
  </si>
  <si>
    <t>Da 1 a 2 anni</t>
  </si>
  <si>
    <t>Da 2 a 3 anni</t>
  </si>
  <si>
    <t>Oltre i 3 anni</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</si>
  <si>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</si>
  <si>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</si>
  <si>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</si>
  <si>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</si>
  <si>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</si>
  <si>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</si>
  <si>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personale in aspettativa</t>
  </si>
  <si>
    <t>Personale Esterno - comandati/distaccati</t>
  </si>
  <si>
    <t>Personale Esterno - fuori ruolo</t>
  </si>
  <si>
    <t>Personale Esterno - convenzioni</t>
  </si>
  <si>
    <t>T4 Passaggi di Ruolo/Posizione Economica/Profilo</t>
  </si>
  <si>
    <t>Qualifica di partenza</t>
  </si>
  <si>
    <t>Qualifica di arrivo</t>
  </si>
  <si>
    <t>Numero di passagi</t>
  </si>
  <si>
    <t>TOTALE PASSAGGI</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</si>
  <si>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</si>
  <si>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</si>
  <si>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</si>
  <si>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</si>
  <si>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</si>
  <si>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</si>
  <si>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</si>
  <si>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</si>
  <si>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Vincitori altro concorso pubblico</t>
  </si>
  <si>
    <t>Altre cause</t>
  </si>
  <si>
    <t>VETERINARI CON INC. DI STRUTTURA COMPLESSA (RAPP.ESCLUSIVO)</t>
  </si>
  <si>
    <t>PSICOLOGI CON INC. DI STRUTTURA SEMPLICE (RAPP. ESCLUSIVO)</t>
  </si>
  <si>
    <t>PROFILO ATIPICO RUOLO SANITARIO</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</si>
  <si>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</si>
  <si>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</si>
  <si>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</si>
  <si>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</si>
  <si>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</si>
  <si>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</si>
  <si>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</si>
  <si>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</si>
  <si>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</si>
  <si>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</si>
  <si>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</si>
  <si>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</si>
  <si>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</si>
  <si>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</si>
  <si>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</si>
  <si>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</si>
  <si>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</si>
  <si>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</si>
  <si>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</si>
  <si>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</si>
  <si>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</si>
  <si>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</si>
  <si>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</si>
  <si>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</si>
  <si>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</si>
  <si>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</si>
  <si>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</si>
  <si>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</si>
  <si>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</si>
  <si>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</si>
  <si>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</si>
  <si>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</si>
  <si>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</si>
  <si>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</si>
  <si>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</si>
  <si>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</si>
  <si>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</si>
  <si>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</si>
  <si>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</si>
  <si>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</si>
  <si>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</si>
  <si>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</si>
  <si>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</si>
  <si>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</si>
  <si>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</si>
  <si>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</si>
  <si>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</si>
  <si>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</si>
  <si>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</si>
  <si>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</si>
  <si>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</si>
  <si>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</si>
  <si>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</si>
  <si>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</si>
  <si>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</si>
  <si>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</si>
  <si>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</si>
  <si>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</si>
  <si>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</si>
  <si>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</si>
  <si>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</si>
  <si>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</si>
  <si>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</si>
  <si>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</si>
  <si>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</si>
  <si>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</si>
  <si>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</si>
  <si>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</si>
  <si>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</si>
  <si>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</si>
  <si>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</si>
  <si>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</si>
  <si>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</si>
  <si>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INDENNITA' PROFESSIONALE SPECIFICA</t>
  </si>
  <si>
    <t>MAGGIORAZIONE RETRIB. DI POSIZIONE DIRETTORE DIPARTIMENTO</t>
  </si>
  <si>
    <t>ASSEGNO AD PERSONAM</t>
  </si>
  <si>
    <t>INDENNITÀ ART. 42, COMMA 5-TER, D.LGS. 151/2001</t>
  </si>
  <si>
    <t>INDENNITA' DE MARIA</t>
  </si>
  <si>
    <t>Qualifiche per le Voci di Spesa di Tipo S e T</t>
  </si>
  <si>
    <t>ALTRI COMPENSI ACCESSORI PERSONALE UNIVERSITARIO</t>
  </si>
  <si>
    <t>ALTRI COMPENSI PER PARTICOLARI CONDIZIONI DI LAVORO</t>
  </si>
  <si>
    <t>PRONTA DISPONIBILITA'</t>
  </si>
  <si>
    <t xml:space="preserve">COMPENSI PRODUTTIVITA' </t>
  </si>
  <si>
    <t>INCENTIVI PER FUNZIONI TECNICHE</t>
  </si>
  <si>
    <t>ONORARI AVVOCATI</t>
  </si>
  <si>
    <t>ELEMENTO PEREQUATIVO</t>
  </si>
  <si>
    <t>INDENNITA' D'INCARICO</t>
  </si>
  <si>
    <t>INDENNITA' DI COORDINAMENTO</t>
  </si>
  <si>
    <t>COMPENSO PER TURNI DI GUARDIA NOTTURNI DIRIGENTI</t>
  </si>
  <si>
    <t>COMPETENZE PERSONALE COMANDATO/DISTACCATO PRESSO L'AMM.NE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</si>
  <si>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</si>
  <si>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</si>
  <si>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</si>
  <si>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</si>
  <si>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</si>
  <si>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</si>
  <si>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</si>
  <si>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</si>
  <si>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</si>
  <si>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</si>
  <si>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</si>
  <si>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</si>
  <si>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</si>
  <si>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</si>
  <si>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</si>
  <si>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</si>
  <si>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</si>
  <si>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</si>
  <si>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</si>
  <si>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</si>
  <si>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</si>
  <si>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</si>
  <si>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</si>
  <si>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</si>
  <si>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</si>
  <si>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</si>
  <si>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</si>
  <si>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</si>
  <si>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</si>
  <si>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</si>
  <si>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</si>
  <si>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</si>
  <si>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</si>
  <si>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SOMME RIMBORSATE ALLE UNIVERSITÀ PER INDENNITÀ DE MARIA</t>
  </si>
  <si>
    <t>ALTRE SOMME RIMBORSATE ALLE AMMINISTRAZIONI</t>
  </si>
  <si>
    <t>SOMME RICEVUTE DA U.E. E/O PRIVATI (-)</t>
  </si>
  <si>
    <t>RIMBORSI RICEVUTI PER PERS. COMAND./FUORI RUOLO/IN CONV. (-)</t>
  </si>
  <si>
    <t>ALTRI RIMBORSI RICEVUTI DALLE AMMINISTRAZIONI (-)</t>
  </si>
  <si>
    <t>ACCANTONAMENTI PER RINNOVI CONTRATTUALI</t>
  </si>
  <si>
    <t>COMPENSI AGGIUNTIVI PER LA DIRIGENZA MEDICA E VETERINARIA</t>
  </si>
  <si>
    <t>COMPENSI AGGIUNTIVI PER LA DIRIGENZA DEL RUOLO SANITARIO</t>
  </si>
  <si>
    <t>COMP.AGGIUNTIVI PERS.INFERM.CO E TECN.SAN.DI RADIOL.MED.</t>
  </si>
  <si>
    <t>Elenco istituzioni ed importi dei rimborsi ricevuti</t>
  </si>
  <si>
    <t>INAIL  (319.398) , Regione Lazio (1.186.106), Ministero dell'Interno Prefettura Trieste (27.505)</t>
  </si>
  <si>
    <t>T15 Fondo per la contrattazione integrativa</t>
  </si>
  <si>
    <t>Macrocategoria : DIRIGENTI SANITARI</t>
  </si>
  <si>
    <t>Importo di competenza</t>
  </si>
  <si>
    <t>Entrata</t>
  </si>
  <si>
    <t>Uscita</t>
  </si>
  <si>
    <t>Destinazioni erogate per prestazioni rese nell'anno di riferimento</t>
  </si>
  <si>
    <t>INDENNITÀ DI INCARICO DI DIREZIONE DI STRUTTURA COMPLESSA</t>
  </si>
  <si>
    <t>INDENNITÀ SPECIFICITÀ MEDICO-VETERINARIA</t>
  </si>
  <si>
    <t>ASSEGNI PERSONALI CARICO FONDO</t>
  </si>
  <si>
    <t>totale Destinazioni erogate per prestazioni rese nell'anno di riferimento Fondo per la retribuzione degli incarichi</t>
  </si>
  <si>
    <t>totale Fondo per la retribuzione degli incarichi</t>
  </si>
  <si>
    <t>INDENNITÀ PER SOSTITUZIONI</t>
  </si>
  <si>
    <t>totale Destinazioni erogate per prestazioni rese nell'anno di riferimento Fondo per la retribuzione di risultato</t>
  </si>
  <si>
    <t>totale Fondo per la retribuzione di risultato</t>
  </si>
  <si>
    <t>COMPENSI CORRELATI ALLE CONDIZIONI DI LAVORO</t>
  </si>
  <si>
    <t>totale Destinazioni erogate per prestazioni rese nell'anno di riferimento Fondo per la retribuzione delle condizioni di lavoro</t>
  </si>
  <si>
    <t>totale Fondo per la retribuzione delle condizioni di lavoro</t>
  </si>
  <si>
    <t>Macrocategoria : DIRIGENTI PROFESSIONALI, TECNICI E AMMINISTRATIVI</t>
  </si>
  <si>
    <t>totale Destinazioni erogate per prestazioni rese nell'anno di riferimento Fondo posizione</t>
  </si>
  <si>
    <t>totale Fondo posizione</t>
  </si>
  <si>
    <t>INDENNITÀ CONDIZIONI DI LAVORO</t>
  </si>
  <si>
    <t>totale Destinazioni erogate per prestazioni rese nell'anno di riferimento Fondo risultato</t>
  </si>
  <si>
    <t>totale Fondo risultato</t>
  </si>
  <si>
    <t>Macrocategoria : PERSONALE NON DIRIGENTE</t>
  </si>
  <si>
    <t>INCARICHI DI POSIZIONE E COORDINAMENTO</t>
  </si>
  <si>
    <t>VALORE COMUNE EX IND QUALIF PROF.LE E IND PROF.LE SPECIFICA</t>
  </si>
  <si>
    <t>COMPENSI LAVORO STRAORDINARIO</t>
  </si>
  <si>
    <t>INDENNITÀ CORRELATE AGLI INCARICHI FUNZIONALI</t>
  </si>
  <si>
    <t>INDENNITÀ DI COORDINAMENTO AD ESAURIMENTO</t>
  </si>
  <si>
    <t>totale Destinazioni erogate per prestazioni rese nell'anno di riferimento Fondo cond. lav. e incar.</t>
  </si>
  <si>
    <t>totale Fondo cond. lav. e incar.</t>
  </si>
  <si>
    <t>DIFFERENZIALI RETRIBUTIVI PROGRESSIONI ECONOMICHE STORICHE</t>
  </si>
  <si>
    <t>PREMI CORRELATI ALLA PERFORMANCE ORGANIZZATIVA</t>
  </si>
  <si>
    <t>PREMI CORRELATI ALLA PERFORMANCE INDIVIDUALE</t>
  </si>
  <si>
    <t>DIFFERENZIALI PROGRESSIONI ECONOMICHE ANNO DI RILEVAZIONE</t>
  </si>
  <si>
    <t>ART 113 DLGS 50/2016 - INCENTIVI FUNZIONI TECNICHE</t>
  </si>
  <si>
    <t>totale Destinazioni erogate per prestazioni rese nell'anno di riferimento Fondo premialità e fasce</t>
  </si>
  <si>
    <t>totale Fondo premialità e fasce</t>
  </si>
  <si>
    <t>Scheda di Riconciliazione</t>
  </si>
  <si>
    <t>Voci di Spesa/Costo</t>
  </si>
  <si>
    <t>Importo Sico</t>
  </si>
  <si>
    <t>Importo Siope</t>
  </si>
  <si>
    <t>Importo Bilancio</t>
  </si>
  <si>
    <t>Nota</t>
  </si>
  <si>
    <t>Totale T12</t>
  </si>
  <si>
    <t>84681063</t>
  </si>
  <si>
    <t>163414493</t>
  </si>
  <si>
    <t>Totale T13</t>
  </si>
  <si>
    <t>31966736</t>
  </si>
  <si>
    <t>Assegno T14</t>
  </si>
  <si>
    <t>459747</t>
  </si>
  <si>
    <t>TOTALE PARZIALE</t>
  </si>
  <si>
    <t>117107546</t>
  </si>
  <si>
    <t xml:space="preserve">L010 - GESTIONE MENSE </t>
  </si>
  <si>
    <t>239808</t>
  </si>
  <si>
    <t>L011 - EROGAZIONE BUONI PASTO</t>
  </si>
  <si>
    <t>430711</t>
  </si>
  <si>
    <t>L020 - FORMAZIONE DEL PERSONALE</t>
  </si>
  <si>
    <t>235999</t>
  </si>
  <si>
    <t>L107 - COPERTURE ASSICURATIVE</t>
  </si>
  <si>
    <t>L108 - CONTRATTI DI COLLABORAZIONE COORDINATA E CONTINUATIVA</t>
  </si>
  <si>
    <t>998706</t>
  </si>
  <si>
    <t>L109 - INCARICHI LIBERO PROFESSIONALI/STUDIO/RICERCA/CONSULENZA</t>
  </si>
  <si>
    <t>7135957</t>
  </si>
  <si>
    <t>P015 - RETRIBUZIONI PERSONALE  A TEMPO DETERMINATO</t>
  </si>
  <si>
    <t>12259055</t>
  </si>
  <si>
    <t>P035 - CONTRIBUTI A CARICO DELL'AMM. PER FONDI PREV. COMPLEMENTARE</t>
  </si>
  <si>
    <t>P055 - CONTRIBUTI A CARICO DELL'AMM.NE SU COMP. FISSE E ACCESSORIE</t>
  </si>
  <si>
    <t>35403430</t>
  </si>
  <si>
    <t>P061 - IRAP</t>
  </si>
  <si>
    <t>11254465</t>
  </si>
  <si>
    <t>P062 - ONERI PER I CONTRATTI DI SOMMINISTRAZIONE(INTERINALI)</t>
  </si>
  <si>
    <t>P065 - COMPENSI PER PERSONALE LSU/LPU</t>
  </si>
  <si>
    <t>P091 - ACCANTONAMENTI PER RINNOVI CONTRATTUALI</t>
  </si>
  <si>
    <t>6146203</t>
  </si>
  <si>
    <t>P092 - COMPENSI AGGIUNTIVI PER LA DIRIGENZA MEDICA E VETERINARIA</t>
  </si>
  <si>
    <t>2281774</t>
  </si>
  <si>
    <t>il valore indicato include anche i compensi relativi alla dirigenza del ruolo sanitario</t>
  </si>
  <si>
    <t>P093 - COMPENSI AGGIUNTIVI PER LA DIRIGENZA DEL RUOLO SANITARIO</t>
  </si>
  <si>
    <t>vedi nota riga precedente</t>
  </si>
  <si>
    <t>P094 - COMP.AGGIUNTIVI PERS.INFERM.CO E TECN.SAN.DI RADIOL.MED.</t>
  </si>
  <si>
    <t>2446151</t>
  </si>
  <si>
    <t>SOMME RIMBORSATE ALLE AMMINISTRAZIONI PER SPESE DI PERSONALE
(sommatoria dei diversi rimborsi presenti in tabella 14)</t>
  </si>
  <si>
    <t>195939805</t>
  </si>
  <si>
    <t>242246752</t>
  </si>
  <si>
    <t>RIMBORSI RICEVUTI  DALLE AMMINISTRAZIONI PER SPESE DI PERSONALE  (a riduzione)
(sommatoria dei diversi rimborsi presenti in tabella 14)</t>
  </si>
  <si>
    <t>1533009</t>
  </si>
  <si>
    <t>TOTALE GENERALE AL NETTO DEI RIMBORSI</t>
  </si>
  <si>
    <t>194406796</t>
  </si>
  <si>
    <t>240713743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</si>
</sst>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9">
    <font>
      <sz val="10"/>
      <name val="Arial"/>
      <family val="0"/>
    </font>
    <font>
      <b/>
      <sz val="14"/>
      <name val="Arial"/>
      <family val="0"/>
    </font>
    <font>
      <b/>
      <sz val="10"/>
      <name val="Arial"/>
      <family val="0"/>
    </font>
    <font>
      <b/>
      <sz val="12"/>
      <name val="Arial"/>
      <family val="0"/>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13">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37" fontId="0" fillId="0" borderId="0" xfId="0" applyNumberFormat="1" applyFont="1" applyFill="1" applyBorder="1" applyAlignment="1">
      <alignment horizontal="right"/>
    </xf>
    <xf numFmtId="0" fontId="3" fillId="0" borderId="0" xfId="0" applyNumberFormat="1" applyFont="1" applyFill="1" applyBorder="1" applyAlignment="1">
      <alignmen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xf numFmtId="0" fontId="3" fillId="0" borderId="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3"/>
  <sheetViews>
    <sheetView tabSelected="1" zoomScalePageLayoutView="0" workbookViewId="0" topLeftCell="A1">
      <selection activeCell="A1" sqref="A1"/>
    </sheetView>
  </sheetViews>
  <sheetFormatPr defaultColWidth="9.140625" defaultRowHeight="12.75"/>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D10" t="s">
        <v>42</v>
      </c>
      <c r="E10" t="s">
        <v>42</v>
      </c>
      <c r="I10" t="s">
        <v>42</v>
      </c>
      <c r="J10" t="s">
        <v>42</v>
      </c>
      <c r="K10" t="s">
        <v>42</v>
      </c>
      <c r="M10" t="s">
        <v>42</v>
      </c>
      <c r="N10" t="s">
        <v>42</v>
      </c>
      <c r="O10" t="s">
        <v>42</v>
      </c>
      <c r="P10" t="s">
        <v>42</v>
      </c>
      <c r="Q10" t="s">
        <v>42</v>
      </c>
      <c r="R10" t="s">
        <v>42</v>
      </c>
      <c r="S10" t="s">
        <v>42</v>
      </c>
      <c r="T10" t="s">
        <v>42</v>
      </c>
      <c r="U10" t="s">
        <v>42</v>
      </c>
      <c r="W10" t="s">
        <v>42</v>
      </c>
      <c r="X10" t="s">
        <v>42</v>
      </c>
      <c r="Y10" t="s">
        <v>42</v>
      </c>
      <c r="Z10" t="s">
        <v>42</v>
      </c>
      <c r="AA10" t="s">
        <v>42</v>
      </c>
      <c r="AB10" t="s">
        <v>42</v>
      </c>
      <c r="AE10" t="s">
        <v>42</v>
      </c>
    </row>
    <row r="11" spans="1:31" ht="12.75">
      <c r="A11" s="2" t="s">
        <v>43</v>
      </c>
      <c r="C11" t="s">
        <v>42</v>
      </c>
      <c r="D11" t="s">
        <v>42</v>
      </c>
      <c r="I11" t="s">
        <v>42</v>
      </c>
      <c r="J11" t="s">
        <v>42</v>
      </c>
      <c r="K11" t="s">
        <v>42</v>
      </c>
      <c r="M11" t="s">
        <v>42</v>
      </c>
      <c r="N11" t="s">
        <v>42</v>
      </c>
      <c r="O11" t="s">
        <v>42</v>
      </c>
      <c r="P11" t="s">
        <v>42</v>
      </c>
      <c r="Q11" t="s">
        <v>42</v>
      </c>
      <c r="R11" t="s">
        <v>42</v>
      </c>
      <c r="S11" t="s">
        <v>42</v>
      </c>
      <c r="T11" t="s">
        <v>42</v>
      </c>
      <c r="U11" t="s">
        <v>42</v>
      </c>
      <c r="W11" t="s">
        <v>42</v>
      </c>
      <c r="X11" t="s">
        <v>42</v>
      </c>
      <c r="Y11" t="s">
        <v>42</v>
      </c>
      <c r="Z11" t="s">
        <v>42</v>
      </c>
      <c r="AA11" t="s">
        <v>42</v>
      </c>
      <c r="AB11" t="s">
        <v>42</v>
      </c>
      <c r="AE11" t="s">
        <v>42</v>
      </c>
    </row>
    <row r="12" spans="1:31" ht="12.75">
      <c r="A12" s="2" t="s">
        <v>44</v>
      </c>
      <c r="C12" t="s">
        <v>42</v>
      </c>
      <c r="D12" t="s">
        <v>42</v>
      </c>
      <c r="I12" t="s">
        <v>42</v>
      </c>
      <c r="J12" t="s">
        <v>42</v>
      </c>
      <c r="K12" t="s">
        <v>42</v>
      </c>
      <c r="M12" t="s">
        <v>42</v>
      </c>
      <c r="N12" t="s">
        <v>42</v>
      </c>
      <c r="O12" t="s">
        <v>42</v>
      </c>
      <c r="P12" t="s">
        <v>42</v>
      </c>
      <c r="Q12" t="s">
        <v>42</v>
      </c>
      <c r="R12" t="s">
        <v>42</v>
      </c>
      <c r="S12" t="s">
        <v>42</v>
      </c>
      <c r="T12" t="s">
        <v>42</v>
      </c>
      <c r="U12" t="s">
        <v>42</v>
      </c>
      <c r="W12" t="s">
        <v>42</v>
      </c>
      <c r="X12" t="s">
        <v>42</v>
      </c>
      <c r="Y12" t="s">
        <v>42</v>
      </c>
      <c r="Z12" t="s">
        <v>42</v>
      </c>
      <c r="AA12" t="s">
        <v>42</v>
      </c>
      <c r="AB12" t="s">
        <v>42</v>
      </c>
      <c r="AE12" t="s">
        <v>42</v>
      </c>
    </row>
    <row r="14" ht="12.75">
      <c r="A14" s="3" t="s">
        <v>45</v>
      </c>
    </row>
    <row r="16" ht="18">
      <c r="A16" s="1" t="s">
        <v>46</v>
      </c>
    </row>
    <row r="17" ht="18">
      <c r="A17" s="1" t="s">
        <v>47</v>
      </c>
    </row>
    <row r="20" ht="15.75">
      <c r="A20" s="4" t="s">
        <v>48</v>
      </c>
    </row>
    <row r="22" spans="1:12" ht="12.75">
      <c r="A22" s="2" t="s">
        <v>11</v>
      </c>
      <c r="B22" s="2" t="s">
        <v>49</v>
      </c>
      <c r="C22" s="2" t="s">
        <v>50</v>
      </c>
      <c r="D22" s="2" t="s">
        <v>51</v>
      </c>
      <c r="E22" s="2" t="s">
        <v>52</v>
      </c>
      <c r="F22" s="2" t="s">
        <v>53</v>
      </c>
      <c r="G22" s="2" t="s">
        <v>54</v>
      </c>
      <c r="H22" s="2" t="s">
        <v>55</v>
      </c>
      <c r="I22" s="2" t="s">
        <v>56</v>
      </c>
      <c r="J22" s="2" t="s">
        <v>57</v>
      </c>
      <c r="K22" s="2" t="s">
        <v>58</v>
      </c>
      <c r="L22" s="2" t="s">
        <v>59</v>
      </c>
    </row>
    <row r="23" spans="1:12" ht="12.75">
      <c r="A23" s="2" t="s">
        <v>60</v>
      </c>
      <c r="B23" t="s">
        <v>61</v>
      </c>
      <c r="C23" t="s">
        <v>61</v>
      </c>
      <c r="D23" t="s">
        <v>61</v>
      </c>
      <c r="E23" t="s">
        <v>61</v>
      </c>
      <c r="F23" t="s">
        <v>61</v>
      </c>
      <c r="G23" t="s">
        <v>61</v>
      </c>
      <c r="H23" t="s">
        <v>61</v>
      </c>
      <c r="I23" t="s">
        <v>61</v>
      </c>
      <c r="J23" t="s">
        <v>61</v>
      </c>
      <c r="K23" t="s">
        <v>61</v>
      </c>
      <c r="L23" t="s">
        <v>61</v>
      </c>
    </row>
    <row r="25" spans="1:18" ht="12.75">
      <c r="A25" s="2" t="s">
        <v>11</v>
      </c>
      <c r="B25" s="2" t="s">
        <v>62</v>
      </c>
      <c r="C25" s="2" t="s">
        <v>63</v>
      </c>
      <c r="D25" s="2" t="s">
        <v>64</v>
      </c>
      <c r="E25" s="2" t="s">
        <v>65</v>
      </c>
      <c r="F25" s="2" t="s">
        <v>66</v>
      </c>
      <c r="G25" s="2" t="s">
        <v>67</v>
      </c>
      <c r="H25" s="2" t="s">
        <v>68</v>
      </c>
      <c r="I25" s="2" t="s">
        <v>69</v>
      </c>
      <c r="J25" s="2" t="s">
        <v>70</v>
      </c>
      <c r="K25" s="2" t="s">
        <v>71</v>
      </c>
      <c r="L25" s="2" t="s">
        <v>72</v>
      </c>
      <c r="M25" s="2" t="s">
        <v>73</v>
      </c>
      <c r="N25" s="2" t="s">
        <v>74</v>
      </c>
      <c r="O25" s="2" t="s">
        <v>75</v>
      </c>
      <c r="P25" s="2" t="s">
        <v>76</v>
      </c>
      <c r="Q25" s="2" t="s">
        <v>77</v>
      </c>
      <c r="R25" s="2" t="s">
        <v>78</v>
      </c>
    </row>
    <row r="26" spans="1:18" ht="12.75">
      <c r="A26" s="2" t="s">
        <v>60</v>
      </c>
      <c r="B26" t="s">
        <v>61</v>
      </c>
      <c r="C26" t="s">
        <v>61</v>
      </c>
      <c r="D26" t="s">
        <v>61</v>
      </c>
      <c r="E26" t="s">
        <v>61</v>
      </c>
      <c r="F26" t="s">
        <v>61</v>
      </c>
      <c r="G26" t="s">
        <v>61</v>
      </c>
      <c r="H26" t="s">
        <v>61</v>
      </c>
      <c r="I26" t="s">
        <v>61</v>
      </c>
      <c r="J26" t="s">
        <v>61</v>
      </c>
      <c r="K26" t="s">
        <v>61</v>
      </c>
      <c r="L26" t="s">
        <v>61</v>
      </c>
      <c r="M26" t="s">
        <v>61</v>
      </c>
      <c r="N26" t="s">
        <v>61</v>
      </c>
      <c r="O26" t="s">
        <v>61</v>
      </c>
      <c r="P26" t="s">
        <v>61</v>
      </c>
      <c r="Q26" t="s">
        <v>61</v>
      </c>
      <c r="R26" t="s">
        <v>61</v>
      </c>
    </row>
    <row r="28" ht="12.75">
      <c r="A28" s="2" t="s">
        <v>79</v>
      </c>
    </row>
    <row r="30" ht="12.75">
      <c r="A30" s="2" t="s">
        <v>80</v>
      </c>
    </row>
    <row r="31" ht="12.75">
      <c r="A31" s="2" t="s">
        <v>81</v>
      </c>
    </row>
    <row r="32" ht="12.75">
      <c r="A32" s="2" t="s">
        <v>82</v>
      </c>
    </row>
    <row r="33" ht="12.75">
      <c r="A33" s="2" t="s">
        <v>83</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112"/>
  <sheetViews>
    <sheetView zoomScalePageLayoutView="0" workbookViewId="0" topLeftCell="A1">
      <selection activeCell="A1" sqref="A1"/>
    </sheetView>
  </sheetViews>
  <sheetFormatPr defaultColWidth="9.140625" defaultRowHeight="12.75"/>
  <sheetData>
    <row r="1" ht="18">
      <c r="A1" s="1" t="s">
        <v>39</v>
      </c>
    </row>
    <row r="4" spans="1:3" ht="12.75">
      <c r="A4" s="2" t="s">
        <v>426</v>
      </c>
      <c r="C4" t="s">
        <v>232</v>
      </c>
    </row>
    <row r="5" ht="12.75">
      <c r="A5" s="2" t="s">
        <v>427</v>
      </c>
    </row>
    <row r="6" spans="1:9" ht="12.75">
      <c r="A6" t="s">
        <v>428</v>
      </c>
      <c r="I6" t="s">
        <v>421</v>
      </c>
    </row>
    <row r="7" spans="1:9" ht="12.75">
      <c r="A7" t="s">
        <v>429</v>
      </c>
      <c r="I7" t="s">
        <v>421</v>
      </c>
    </row>
    <row r="8" spans="1:9" ht="12.75">
      <c r="A8" t="s">
        <v>430</v>
      </c>
      <c r="I8" t="s">
        <v>421</v>
      </c>
    </row>
    <row r="9" spans="1:9" ht="12.75">
      <c r="A9" t="s">
        <v>431</v>
      </c>
      <c r="I9" t="s">
        <v>127</v>
      </c>
    </row>
    <row r="10" ht="12.75">
      <c r="A10" s="2" t="s">
        <v>432</v>
      </c>
    </row>
    <row r="11" spans="1:9" ht="12.75">
      <c r="A11" t="s">
        <v>433</v>
      </c>
      <c r="I11" t="s">
        <v>293</v>
      </c>
    </row>
    <row r="12" spans="1:9" ht="12.75">
      <c r="A12" t="s">
        <v>434</v>
      </c>
      <c r="I12" t="s">
        <v>421</v>
      </c>
    </row>
    <row r="13" spans="1:9" ht="12.75">
      <c r="A13" t="s">
        <v>435</v>
      </c>
      <c r="I13" t="s">
        <v>421</v>
      </c>
    </row>
    <row r="14" spans="1:9" ht="12.75">
      <c r="A14" t="s">
        <v>436</v>
      </c>
      <c r="I14" t="s">
        <v>421</v>
      </c>
    </row>
    <row r="15" ht="12.75">
      <c r="A15" s="2" t="s">
        <v>437</v>
      </c>
    </row>
    <row r="16" spans="1:9" ht="12.75">
      <c r="A16" t="s">
        <v>438</v>
      </c>
      <c r="I16" t="s">
        <v>439</v>
      </c>
    </row>
    <row r="17" spans="1:9" ht="12.75">
      <c r="A17" t="s">
        <v>440</v>
      </c>
      <c r="I17" t="s">
        <v>441</v>
      </c>
    </row>
    <row r="18" spans="1:9" ht="12.75">
      <c r="A18" t="s">
        <v>442</v>
      </c>
      <c r="I18" t="s">
        <v>443</v>
      </c>
    </row>
    <row r="19" spans="1:9" ht="12.75">
      <c r="A19" t="s">
        <v>444</v>
      </c>
      <c r="I19" t="s">
        <v>445</v>
      </c>
    </row>
    <row r="20" spans="1:9" ht="12.75">
      <c r="A20" t="s">
        <v>446</v>
      </c>
      <c r="I20" t="s">
        <v>447</v>
      </c>
    </row>
    <row r="21" spans="1:9" ht="12.75">
      <c r="A21" t="s">
        <v>448</v>
      </c>
      <c r="I21" t="s">
        <v>449</v>
      </c>
    </row>
    <row r="22" spans="1:9" ht="12.75">
      <c r="A22" t="s">
        <v>450</v>
      </c>
      <c r="I22" t="s">
        <v>421</v>
      </c>
    </row>
    <row r="23" spans="1:9" ht="12.75">
      <c r="A23" t="s">
        <v>451</v>
      </c>
      <c r="I23" t="s">
        <v>421</v>
      </c>
    </row>
    <row r="24" spans="1:9" ht="12.75">
      <c r="A24" t="s">
        <v>452</v>
      </c>
      <c r="I24" t="s">
        <v>421</v>
      </c>
    </row>
    <row r="25" spans="1:9" ht="12.75">
      <c r="A25" t="s">
        <v>453</v>
      </c>
      <c r="I25" t="s">
        <v>421</v>
      </c>
    </row>
    <row r="26" spans="1:9" ht="12.75">
      <c r="A26" t="s">
        <v>454</v>
      </c>
      <c r="I26" t="s">
        <v>455</v>
      </c>
    </row>
    <row r="27" spans="1:9" ht="12.75">
      <c r="A27" t="s">
        <v>456</v>
      </c>
      <c r="I27" t="s">
        <v>457</v>
      </c>
    </row>
    <row r="28" spans="1:9" ht="12.75">
      <c r="A28" t="s">
        <v>458</v>
      </c>
      <c r="I28" t="s">
        <v>459</v>
      </c>
    </row>
    <row r="29" spans="1:9" ht="12.75">
      <c r="A29" t="s">
        <v>460</v>
      </c>
      <c r="I29" t="s">
        <v>461</v>
      </c>
    </row>
    <row r="30" spans="1:9" ht="12.75">
      <c r="A30" t="s">
        <v>462</v>
      </c>
      <c r="I30" t="s">
        <v>358</v>
      </c>
    </row>
    <row r="31" spans="1:9" ht="12.75">
      <c r="A31" t="s">
        <v>463</v>
      </c>
      <c r="I31" t="s">
        <v>464</v>
      </c>
    </row>
    <row r="32" spans="1:9" ht="12.75">
      <c r="A32" t="s">
        <v>465</v>
      </c>
      <c r="I32" t="s">
        <v>466</v>
      </c>
    </row>
    <row r="33" spans="1:9" ht="12.75">
      <c r="A33" t="s">
        <v>467</v>
      </c>
      <c r="I33" t="s">
        <v>421</v>
      </c>
    </row>
    <row r="34" ht="12.75">
      <c r="A34" s="2" t="s">
        <v>468</v>
      </c>
    </row>
    <row r="35" spans="1:9" ht="12.75">
      <c r="A35" t="s">
        <v>469</v>
      </c>
      <c r="I35" t="s">
        <v>470</v>
      </c>
    </row>
    <row r="36" spans="1:9" ht="12.75">
      <c r="A36" t="s">
        <v>471</v>
      </c>
      <c r="I36" t="s">
        <v>472</v>
      </c>
    </row>
    <row r="37" spans="1:9" ht="12.75">
      <c r="A37" t="s">
        <v>473</v>
      </c>
      <c r="I37" t="s">
        <v>474</v>
      </c>
    </row>
    <row r="38" spans="1:9" ht="12.75">
      <c r="A38" t="s">
        <v>475</v>
      </c>
      <c r="I38" t="s">
        <v>474</v>
      </c>
    </row>
    <row r="39" spans="1:9" ht="12.75">
      <c r="A39" t="s">
        <v>476</v>
      </c>
      <c r="I39" t="s">
        <v>474</v>
      </c>
    </row>
    <row r="40" spans="1:9" ht="12.75">
      <c r="A40" t="s">
        <v>477</v>
      </c>
      <c r="I40" t="s">
        <v>61</v>
      </c>
    </row>
    <row r="41" ht="12.75">
      <c r="A41" s="2" t="s">
        <v>478</v>
      </c>
    </row>
    <row r="42" spans="1:9" ht="12.75">
      <c r="A42" t="s">
        <v>479</v>
      </c>
      <c r="I42" t="s">
        <v>421</v>
      </c>
    </row>
    <row r="43" spans="1:9" ht="12.75">
      <c r="A43" t="s">
        <v>480</v>
      </c>
      <c r="I43" t="s">
        <v>421</v>
      </c>
    </row>
    <row r="46" spans="1:3" ht="12.75">
      <c r="A46" s="2" t="s">
        <v>426</v>
      </c>
      <c r="C46" t="s">
        <v>276</v>
      </c>
    </row>
    <row r="47" ht="12.75">
      <c r="A47" s="2" t="s">
        <v>427</v>
      </c>
    </row>
    <row r="48" spans="1:9" ht="12.75">
      <c r="A48" t="s">
        <v>428</v>
      </c>
      <c r="I48" t="s">
        <v>421</v>
      </c>
    </row>
    <row r="49" spans="1:9" ht="12.75">
      <c r="A49" t="s">
        <v>429</v>
      </c>
      <c r="I49" t="s">
        <v>421</v>
      </c>
    </row>
    <row r="50" spans="1:9" ht="12.75">
      <c r="A50" t="s">
        <v>430</v>
      </c>
      <c r="I50" t="s">
        <v>421</v>
      </c>
    </row>
    <row r="51" spans="1:9" ht="12.75">
      <c r="A51" t="s">
        <v>431</v>
      </c>
      <c r="I51" t="s">
        <v>127</v>
      </c>
    </row>
    <row r="52" ht="12.75">
      <c r="A52" s="2" t="s">
        <v>432</v>
      </c>
    </row>
    <row r="53" spans="1:9" ht="12.75">
      <c r="A53" t="s">
        <v>433</v>
      </c>
      <c r="I53" t="s">
        <v>294</v>
      </c>
    </row>
    <row r="54" spans="1:9" ht="12.75">
      <c r="A54" t="s">
        <v>434</v>
      </c>
      <c r="I54" t="s">
        <v>421</v>
      </c>
    </row>
    <row r="55" spans="1:9" ht="12.75">
      <c r="A55" t="s">
        <v>435</v>
      </c>
      <c r="I55" t="s">
        <v>421</v>
      </c>
    </row>
    <row r="56" spans="1:9" ht="12.75">
      <c r="A56" t="s">
        <v>436</v>
      </c>
      <c r="I56" t="s">
        <v>421</v>
      </c>
    </row>
    <row r="57" ht="12.75">
      <c r="A57" s="2" t="s">
        <v>437</v>
      </c>
    </row>
    <row r="58" spans="1:9" ht="12.75">
      <c r="A58" t="s">
        <v>481</v>
      </c>
      <c r="I58" t="s">
        <v>145</v>
      </c>
    </row>
    <row r="59" spans="1:9" ht="12.75">
      <c r="A59" t="s">
        <v>440</v>
      </c>
      <c r="I59" t="s">
        <v>482</v>
      </c>
    </row>
    <row r="60" spans="1:9" ht="12.75">
      <c r="A60" t="s">
        <v>483</v>
      </c>
      <c r="I60" t="s">
        <v>131</v>
      </c>
    </row>
    <row r="61" spans="1:9" ht="12.75">
      <c r="A61" t="s">
        <v>484</v>
      </c>
      <c r="I61" t="s">
        <v>485</v>
      </c>
    </row>
    <row r="62" spans="1:9" ht="12.75">
      <c r="A62" t="s">
        <v>486</v>
      </c>
      <c r="I62" t="s">
        <v>383</v>
      </c>
    </row>
    <row r="63" spans="1:9" ht="12.75">
      <c r="A63" t="s">
        <v>487</v>
      </c>
      <c r="I63" t="s">
        <v>488</v>
      </c>
    </row>
    <row r="64" spans="1:9" ht="12.75">
      <c r="A64" t="s">
        <v>465</v>
      </c>
      <c r="I64" t="s">
        <v>165</v>
      </c>
    </row>
    <row r="65" spans="1:9" ht="12.75">
      <c r="A65" t="s">
        <v>467</v>
      </c>
      <c r="I65" t="s">
        <v>421</v>
      </c>
    </row>
    <row r="66" ht="12.75">
      <c r="A66" s="2" t="s">
        <v>468</v>
      </c>
    </row>
    <row r="67" spans="1:9" ht="12.75">
      <c r="A67" t="s">
        <v>469</v>
      </c>
      <c r="I67" t="s">
        <v>489</v>
      </c>
    </row>
    <row r="68" spans="1:9" ht="12.75">
      <c r="A68" t="s">
        <v>471</v>
      </c>
      <c r="I68" t="s">
        <v>235</v>
      </c>
    </row>
    <row r="69" spans="1:9" ht="12.75">
      <c r="A69" t="s">
        <v>473</v>
      </c>
      <c r="I69" t="s">
        <v>474</v>
      </c>
    </row>
    <row r="70" spans="1:9" ht="12.75">
      <c r="A70" t="s">
        <v>475</v>
      </c>
      <c r="I70" t="s">
        <v>474</v>
      </c>
    </row>
    <row r="71" spans="1:9" ht="12.75">
      <c r="A71" t="s">
        <v>476</v>
      </c>
      <c r="I71" t="s">
        <v>474</v>
      </c>
    </row>
    <row r="72" spans="1:9" ht="12.75">
      <c r="A72" t="s">
        <v>477</v>
      </c>
      <c r="I72" t="s">
        <v>61</v>
      </c>
    </row>
    <row r="73" ht="12.75">
      <c r="A73" s="2" t="s">
        <v>478</v>
      </c>
    </row>
    <row r="74" spans="1:9" ht="12.75">
      <c r="A74" t="s">
        <v>479</v>
      </c>
      <c r="I74" t="s">
        <v>421</v>
      </c>
    </row>
    <row r="75" spans="1:9" ht="12.75">
      <c r="A75" t="s">
        <v>480</v>
      </c>
      <c r="I75" t="s">
        <v>421</v>
      </c>
    </row>
    <row r="78" spans="1:3" ht="12.75">
      <c r="A78" s="2" t="s">
        <v>426</v>
      </c>
      <c r="C78" t="s">
        <v>254</v>
      </c>
    </row>
    <row r="79" ht="12.75">
      <c r="A79" s="2" t="s">
        <v>427</v>
      </c>
    </row>
    <row r="80" spans="1:9" ht="12.75">
      <c r="A80" t="s">
        <v>428</v>
      </c>
      <c r="I80" t="s">
        <v>421</v>
      </c>
    </row>
    <row r="81" spans="1:9" ht="12.75">
      <c r="A81" t="s">
        <v>429</v>
      </c>
      <c r="I81" t="s">
        <v>421</v>
      </c>
    </row>
    <row r="82" spans="1:9" ht="12.75">
      <c r="A82" t="s">
        <v>430</v>
      </c>
      <c r="I82" t="s">
        <v>421</v>
      </c>
    </row>
    <row r="83" spans="1:9" ht="12.75">
      <c r="A83" t="s">
        <v>431</v>
      </c>
      <c r="I83" t="s">
        <v>165</v>
      </c>
    </row>
    <row r="84" ht="12.75">
      <c r="A84" s="2" t="s">
        <v>432</v>
      </c>
    </row>
    <row r="85" spans="1:9" ht="12.75">
      <c r="A85" t="s">
        <v>433</v>
      </c>
      <c r="I85" t="s">
        <v>295</v>
      </c>
    </row>
    <row r="86" spans="1:9" ht="12.75">
      <c r="A86" t="s">
        <v>434</v>
      </c>
      <c r="I86" t="s">
        <v>421</v>
      </c>
    </row>
    <row r="87" spans="1:9" ht="12.75">
      <c r="A87" t="s">
        <v>435</v>
      </c>
      <c r="I87" t="s">
        <v>421</v>
      </c>
    </row>
    <row r="88" spans="1:9" ht="12.75">
      <c r="A88" t="s">
        <v>490</v>
      </c>
      <c r="I88" t="s">
        <v>421</v>
      </c>
    </row>
    <row r="89" spans="1:9" ht="12.75">
      <c r="A89" t="s">
        <v>491</v>
      </c>
      <c r="I89" t="s">
        <v>421</v>
      </c>
    </row>
    <row r="90" ht="12.75">
      <c r="A90" s="2" t="s">
        <v>437</v>
      </c>
    </row>
    <row r="91" spans="1:9" ht="12.75">
      <c r="A91" t="s">
        <v>492</v>
      </c>
      <c r="I91" t="s">
        <v>493</v>
      </c>
    </row>
    <row r="92" spans="1:9" ht="12.75">
      <c r="A92" t="s">
        <v>494</v>
      </c>
      <c r="I92" t="s">
        <v>165</v>
      </c>
    </row>
    <row r="93" spans="1:9" ht="12.75">
      <c r="A93" t="s">
        <v>495</v>
      </c>
      <c r="I93" t="s">
        <v>496</v>
      </c>
    </row>
    <row r="94" spans="1:9" ht="12.75">
      <c r="A94" t="s">
        <v>497</v>
      </c>
      <c r="I94" t="s">
        <v>498</v>
      </c>
    </row>
    <row r="95" spans="1:9" ht="12.75">
      <c r="A95" t="s">
        <v>499</v>
      </c>
      <c r="I95" t="s">
        <v>500</v>
      </c>
    </row>
    <row r="96" spans="1:9" ht="12.75">
      <c r="A96" t="s">
        <v>501</v>
      </c>
      <c r="I96" t="s">
        <v>502</v>
      </c>
    </row>
    <row r="97" spans="1:9" ht="12.75">
      <c r="A97" t="s">
        <v>503</v>
      </c>
      <c r="I97" t="s">
        <v>504</v>
      </c>
    </row>
    <row r="98" ht="12.75">
      <c r="A98" s="2" t="s">
        <v>505</v>
      </c>
    </row>
    <row r="99" spans="1:9" ht="12.75">
      <c r="A99" t="s">
        <v>506</v>
      </c>
      <c r="I99" t="s">
        <v>474</v>
      </c>
    </row>
    <row r="100" spans="1:9" ht="12.75">
      <c r="A100" t="s">
        <v>507</v>
      </c>
      <c r="I100" t="s">
        <v>508</v>
      </c>
    </row>
    <row r="101" spans="1:9" ht="12.75">
      <c r="A101" t="s">
        <v>509</v>
      </c>
      <c r="I101" t="s">
        <v>510</v>
      </c>
    </row>
    <row r="102" spans="1:9" ht="12.75">
      <c r="A102" t="s">
        <v>511</v>
      </c>
      <c r="I102" t="s">
        <v>474</v>
      </c>
    </row>
    <row r="103" spans="1:9" ht="12.75">
      <c r="A103" t="s">
        <v>512</v>
      </c>
      <c r="I103" t="s">
        <v>474</v>
      </c>
    </row>
    <row r="104" spans="1:9" ht="12.75">
      <c r="A104" t="s">
        <v>513</v>
      </c>
      <c r="I104" t="s">
        <v>514</v>
      </c>
    </row>
    <row r="105" ht="12.75">
      <c r="A105" s="2" t="s">
        <v>468</v>
      </c>
    </row>
    <row r="106" spans="1:9" ht="12.75">
      <c r="A106" t="s">
        <v>515</v>
      </c>
      <c r="I106" t="s">
        <v>474</v>
      </c>
    </row>
    <row r="107" spans="1:9" ht="12.75">
      <c r="A107" t="s">
        <v>516</v>
      </c>
      <c r="I107" t="s">
        <v>517</v>
      </c>
    </row>
    <row r="108" spans="1:9" ht="12.75">
      <c r="A108" t="s">
        <v>518</v>
      </c>
      <c r="I108" t="s">
        <v>517</v>
      </c>
    </row>
    <row r="109" spans="1:9" ht="12.75">
      <c r="A109" t="s">
        <v>519</v>
      </c>
      <c r="I109" t="s">
        <v>520</v>
      </c>
    </row>
    <row r="110" ht="12.75">
      <c r="A110" s="2" t="s">
        <v>478</v>
      </c>
    </row>
    <row r="111" spans="1:9" ht="12.75">
      <c r="A111" t="s">
        <v>479</v>
      </c>
      <c r="I111" t="s">
        <v>421</v>
      </c>
    </row>
    <row r="112" spans="1:9" ht="12.75">
      <c r="A112" t="s">
        <v>480</v>
      </c>
      <c r="I112" t="s">
        <v>421</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4:J70"/>
  <sheetViews>
    <sheetView zoomScalePageLayoutView="0" workbookViewId="0" topLeftCell="A1">
      <selection activeCell="A1" sqref="A1"/>
    </sheetView>
  </sheetViews>
  <sheetFormatPr defaultColWidth="9.140625" defaultRowHeight="12.75"/>
  <sheetData>
    <row r="4" ht="18">
      <c r="A4" s="1" t="s">
        <v>521</v>
      </c>
    </row>
    <row r="8" spans="1:10" ht="12.75">
      <c r="A8" s="2" t="s">
        <v>522</v>
      </c>
      <c r="B8" s="2" t="s">
        <v>523</v>
      </c>
      <c r="D8" s="2" t="s">
        <v>524</v>
      </c>
      <c r="F8" s="2" t="s">
        <v>525</v>
      </c>
      <c r="H8" s="2" t="s">
        <v>526</v>
      </c>
      <c r="J8" s="2" t="s">
        <v>527</v>
      </c>
    </row>
    <row r="9" spans="2:9" ht="12.75">
      <c r="B9" t="s">
        <v>528</v>
      </c>
      <c r="C9" t="s">
        <v>529</v>
      </c>
      <c r="D9" t="s">
        <v>528</v>
      </c>
      <c r="E9" t="s">
        <v>529</v>
      </c>
      <c r="F9" t="s">
        <v>528</v>
      </c>
      <c r="G9" t="s">
        <v>529</v>
      </c>
      <c r="H9" t="s">
        <v>528</v>
      </c>
      <c r="I9" t="s">
        <v>529</v>
      </c>
    </row>
    <row r="10" spans="1:10" ht="12.75">
      <c r="A10" t="s">
        <v>530</v>
      </c>
      <c r="B10" s="3">
        <v>0</v>
      </c>
      <c r="C10" s="3">
        <v>1</v>
      </c>
      <c r="D10" s="3">
        <v>0</v>
      </c>
      <c r="E10" s="3">
        <v>0</v>
      </c>
      <c r="F10" s="3">
        <v>0</v>
      </c>
      <c r="G10" s="3">
        <v>0</v>
      </c>
      <c r="H10" s="3">
        <f aca="true" t="shared" si="0" ref="H10:H41">B10+D10+F10</f>
        <v>0</v>
      </c>
      <c r="I10" s="3">
        <f aca="true" t="shared" si="1" ref="I10:I41">C10+E10+G10</f>
        <v>1</v>
      </c>
      <c r="J10" s="6">
        <f aca="true" t="shared" si="2" ref="J10:J41">H10+I10</f>
        <v>1</v>
      </c>
    </row>
    <row r="11" spans="1:10" ht="12.75">
      <c r="A11" t="s">
        <v>531</v>
      </c>
      <c r="B11" s="3">
        <v>0</v>
      </c>
      <c r="C11" s="3">
        <v>1</v>
      </c>
      <c r="D11" s="3">
        <v>0</v>
      </c>
      <c r="E11" s="3">
        <v>0</v>
      </c>
      <c r="F11" s="3">
        <v>0</v>
      </c>
      <c r="G11" s="3">
        <v>0</v>
      </c>
      <c r="H11" s="3">
        <f t="shared" si="0"/>
        <v>0</v>
      </c>
      <c r="I11" s="3">
        <f t="shared" si="1"/>
        <v>1</v>
      </c>
      <c r="J11" s="6">
        <f t="shared" si="2"/>
        <v>1</v>
      </c>
    </row>
    <row r="12" spans="1:10" ht="12.75">
      <c r="A12" t="s">
        <v>532</v>
      </c>
      <c r="B12" s="3">
        <v>0</v>
      </c>
      <c r="C12" s="3">
        <v>1</v>
      </c>
      <c r="D12" s="3">
        <v>0</v>
      </c>
      <c r="E12" s="3">
        <v>0</v>
      </c>
      <c r="F12" s="3">
        <v>0</v>
      </c>
      <c r="G12" s="3">
        <v>0</v>
      </c>
      <c r="H12" s="3">
        <f t="shared" si="0"/>
        <v>0</v>
      </c>
      <c r="I12" s="3">
        <f t="shared" si="1"/>
        <v>1</v>
      </c>
      <c r="J12" s="6">
        <f t="shared" si="2"/>
        <v>1</v>
      </c>
    </row>
    <row r="13" spans="1:10" ht="12.75">
      <c r="A13" t="s">
        <v>533</v>
      </c>
      <c r="B13" s="3">
        <v>28</v>
      </c>
      <c r="C13" s="3">
        <v>8</v>
      </c>
      <c r="D13" s="3">
        <v>0</v>
      </c>
      <c r="E13" s="3">
        <v>0</v>
      </c>
      <c r="F13" s="3">
        <v>0</v>
      </c>
      <c r="G13" s="3">
        <v>0</v>
      </c>
      <c r="H13" s="3">
        <f t="shared" si="0"/>
        <v>28</v>
      </c>
      <c r="I13" s="3">
        <f t="shared" si="1"/>
        <v>8</v>
      </c>
      <c r="J13" s="6">
        <f t="shared" si="2"/>
        <v>36</v>
      </c>
    </row>
    <row r="14" spans="1:10" ht="12.75">
      <c r="A14" t="s">
        <v>534</v>
      </c>
      <c r="B14" s="3">
        <v>1</v>
      </c>
      <c r="C14" s="3">
        <v>0</v>
      </c>
      <c r="D14" s="3">
        <v>0</v>
      </c>
      <c r="E14" s="3">
        <v>0</v>
      </c>
      <c r="F14" s="3">
        <v>0</v>
      </c>
      <c r="G14" s="3">
        <v>0</v>
      </c>
      <c r="H14" s="3">
        <f t="shared" si="0"/>
        <v>1</v>
      </c>
      <c r="I14" s="3">
        <f t="shared" si="1"/>
        <v>0</v>
      </c>
      <c r="J14" s="6">
        <f t="shared" si="2"/>
        <v>1</v>
      </c>
    </row>
    <row r="15" spans="1:10" ht="12.75">
      <c r="A15" t="s">
        <v>535</v>
      </c>
      <c r="B15" s="3">
        <v>28</v>
      </c>
      <c r="C15" s="3">
        <v>12</v>
      </c>
      <c r="D15" s="3">
        <v>0</v>
      </c>
      <c r="E15" s="3">
        <v>0</v>
      </c>
      <c r="F15" s="3">
        <v>0</v>
      </c>
      <c r="G15" s="3">
        <v>0</v>
      </c>
      <c r="H15" s="3">
        <f t="shared" si="0"/>
        <v>28</v>
      </c>
      <c r="I15" s="3">
        <f t="shared" si="1"/>
        <v>12</v>
      </c>
      <c r="J15" s="6">
        <f t="shared" si="2"/>
        <v>40</v>
      </c>
    </row>
    <row r="16" spans="1:10" ht="12.75">
      <c r="A16" t="s">
        <v>536</v>
      </c>
      <c r="B16" s="3">
        <v>6</v>
      </c>
      <c r="C16" s="3">
        <v>0</v>
      </c>
      <c r="D16" s="3">
        <v>0</v>
      </c>
      <c r="E16" s="3">
        <v>0</v>
      </c>
      <c r="F16" s="3">
        <v>0</v>
      </c>
      <c r="G16" s="3">
        <v>0</v>
      </c>
      <c r="H16" s="3">
        <f t="shared" si="0"/>
        <v>6</v>
      </c>
      <c r="I16" s="3">
        <f t="shared" si="1"/>
        <v>0</v>
      </c>
      <c r="J16" s="6">
        <f t="shared" si="2"/>
        <v>6</v>
      </c>
    </row>
    <row r="17" spans="1:10" ht="12.75">
      <c r="A17" t="s">
        <v>537</v>
      </c>
      <c r="B17" s="3">
        <v>143</v>
      </c>
      <c r="C17" s="3">
        <v>164</v>
      </c>
      <c r="D17" s="3">
        <v>0</v>
      </c>
      <c r="E17" s="3">
        <v>0</v>
      </c>
      <c r="F17" s="3">
        <v>0</v>
      </c>
      <c r="G17" s="3">
        <v>5</v>
      </c>
      <c r="H17" s="3">
        <f t="shared" si="0"/>
        <v>143</v>
      </c>
      <c r="I17" s="3">
        <f t="shared" si="1"/>
        <v>169</v>
      </c>
      <c r="J17" s="6">
        <f t="shared" si="2"/>
        <v>312</v>
      </c>
    </row>
    <row r="18" spans="1:10" ht="12.75">
      <c r="A18" t="s">
        <v>538</v>
      </c>
      <c r="B18" s="3">
        <v>45</v>
      </c>
      <c r="C18" s="3">
        <v>35</v>
      </c>
      <c r="D18" s="3">
        <v>0</v>
      </c>
      <c r="E18" s="3">
        <v>0</v>
      </c>
      <c r="F18" s="3">
        <v>0</v>
      </c>
      <c r="G18" s="3">
        <v>0</v>
      </c>
      <c r="H18" s="3">
        <f t="shared" si="0"/>
        <v>45</v>
      </c>
      <c r="I18" s="3">
        <f t="shared" si="1"/>
        <v>35</v>
      </c>
      <c r="J18" s="6">
        <f t="shared" si="2"/>
        <v>80</v>
      </c>
    </row>
    <row r="19" spans="1:10" ht="12.75">
      <c r="A19" t="s">
        <v>539</v>
      </c>
      <c r="B19" s="3">
        <v>4</v>
      </c>
      <c r="C19" s="3">
        <v>0</v>
      </c>
      <c r="D19" s="3">
        <v>0</v>
      </c>
      <c r="E19" s="3">
        <v>0</v>
      </c>
      <c r="F19" s="3">
        <v>0</v>
      </c>
      <c r="G19" s="3">
        <v>0</v>
      </c>
      <c r="H19" s="3">
        <f t="shared" si="0"/>
        <v>4</v>
      </c>
      <c r="I19" s="3">
        <f t="shared" si="1"/>
        <v>0</v>
      </c>
      <c r="J19" s="6">
        <f t="shared" si="2"/>
        <v>4</v>
      </c>
    </row>
    <row r="20" spans="1:10" ht="12.75">
      <c r="A20" t="s">
        <v>540</v>
      </c>
      <c r="B20" s="3">
        <v>22</v>
      </c>
      <c r="C20" s="3">
        <v>7</v>
      </c>
      <c r="D20" s="3">
        <v>0</v>
      </c>
      <c r="E20" s="3">
        <v>0</v>
      </c>
      <c r="F20" s="3">
        <v>0</v>
      </c>
      <c r="G20" s="3">
        <v>0</v>
      </c>
      <c r="H20" s="3">
        <f t="shared" si="0"/>
        <v>22</v>
      </c>
      <c r="I20" s="3">
        <f t="shared" si="1"/>
        <v>7</v>
      </c>
      <c r="J20" s="6">
        <f t="shared" si="2"/>
        <v>29</v>
      </c>
    </row>
    <row r="21" spans="1:10" ht="12.75">
      <c r="A21" t="s">
        <v>541</v>
      </c>
      <c r="B21" s="3">
        <v>1</v>
      </c>
      <c r="C21" s="3">
        <v>0</v>
      </c>
      <c r="D21" s="3">
        <v>0</v>
      </c>
      <c r="E21" s="3">
        <v>0</v>
      </c>
      <c r="F21" s="3">
        <v>0</v>
      </c>
      <c r="G21" s="3">
        <v>0</v>
      </c>
      <c r="H21" s="3">
        <f t="shared" si="0"/>
        <v>1</v>
      </c>
      <c r="I21" s="3">
        <f t="shared" si="1"/>
        <v>0</v>
      </c>
      <c r="J21" s="6">
        <f t="shared" si="2"/>
        <v>1</v>
      </c>
    </row>
    <row r="22" spans="1:10" ht="12.75">
      <c r="A22" t="s">
        <v>542</v>
      </c>
      <c r="B22" s="3">
        <v>1</v>
      </c>
      <c r="C22" s="3">
        <v>3</v>
      </c>
      <c r="D22" s="3">
        <v>0</v>
      </c>
      <c r="E22" s="3">
        <v>0</v>
      </c>
      <c r="F22" s="3">
        <v>0</v>
      </c>
      <c r="G22" s="3">
        <v>0</v>
      </c>
      <c r="H22" s="3">
        <f t="shared" si="0"/>
        <v>1</v>
      </c>
      <c r="I22" s="3">
        <f t="shared" si="1"/>
        <v>3</v>
      </c>
      <c r="J22" s="6">
        <f t="shared" si="2"/>
        <v>4</v>
      </c>
    </row>
    <row r="23" spans="1:10" ht="12.75">
      <c r="A23" t="s">
        <v>543</v>
      </c>
      <c r="B23" s="3">
        <v>2</v>
      </c>
      <c r="C23" s="3">
        <v>4</v>
      </c>
      <c r="D23" s="3">
        <v>0</v>
      </c>
      <c r="E23" s="3">
        <v>0</v>
      </c>
      <c r="F23" s="3">
        <v>0</v>
      </c>
      <c r="G23" s="3">
        <v>0</v>
      </c>
      <c r="H23" s="3">
        <f t="shared" si="0"/>
        <v>2</v>
      </c>
      <c r="I23" s="3">
        <f t="shared" si="1"/>
        <v>4</v>
      </c>
      <c r="J23" s="6">
        <f t="shared" si="2"/>
        <v>6</v>
      </c>
    </row>
    <row r="24" spans="1:10" ht="12.75">
      <c r="A24" t="s">
        <v>544</v>
      </c>
      <c r="B24" s="3">
        <v>1</v>
      </c>
      <c r="C24" s="3">
        <v>0</v>
      </c>
      <c r="D24" s="3">
        <v>0</v>
      </c>
      <c r="E24" s="3">
        <v>0</v>
      </c>
      <c r="F24" s="3">
        <v>0</v>
      </c>
      <c r="G24" s="3">
        <v>0</v>
      </c>
      <c r="H24" s="3">
        <f t="shared" si="0"/>
        <v>1</v>
      </c>
      <c r="I24" s="3">
        <f t="shared" si="1"/>
        <v>0</v>
      </c>
      <c r="J24" s="6">
        <f t="shared" si="2"/>
        <v>1</v>
      </c>
    </row>
    <row r="25" spans="1:10" ht="12.75">
      <c r="A25" t="s">
        <v>545</v>
      </c>
      <c r="B25" s="3">
        <v>2</v>
      </c>
      <c r="C25" s="3">
        <v>13</v>
      </c>
      <c r="D25" s="3">
        <v>0</v>
      </c>
      <c r="E25" s="3">
        <v>0</v>
      </c>
      <c r="F25" s="3">
        <v>0</v>
      </c>
      <c r="G25" s="3">
        <v>0</v>
      </c>
      <c r="H25" s="3">
        <f t="shared" si="0"/>
        <v>2</v>
      </c>
      <c r="I25" s="3">
        <f t="shared" si="1"/>
        <v>13</v>
      </c>
      <c r="J25" s="6">
        <f t="shared" si="2"/>
        <v>15</v>
      </c>
    </row>
    <row r="26" spans="1:10" ht="12.75">
      <c r="A26" t="s">
        <v>546</v>
      </c>
      <c r="B26" s="3">
        <v>1</v>
      </c>
      <c r="C26" s="3">
        <v>0</v>
      </c>
      <c r="D26" s="3">
        <v>0</v>
      </c>
      <c r="E26" s="3">
        <v>0</v>
      </c>
      <c r="F26" s="3">
        <v>0</v>
      </c>
      <c r="G26" s="3">
        <v>0</v>
      </c>
      <c r="H26" s="3">
        <f t="shared" si="0"/>
        <v>1</v>
      </c>
      <c r="I26" s="3">
        <f t="shared" si="1"/>
        <v>0</v>
      </c>
      <c r="J26" s="6">
        <f t="shared" si="2"/>
        <v>1</v>
      </c>
    </row>
    <row r="27" spans="1:10" ht="12.75">
      <c r="A27" t="s">
        <v>547</v>
      </c>
      <c r="B27" s="3">
        <v>0</v>
      </c>
      <c r="C27" s="3">
        <v>4</v>
      </c>
      <c r="D27" s="3">
        <v>0</v>
      </c>
      <c r="E27" s="3">
        <v>0</v>
      </c>
      <c r="F27" s="3">
        <v>0</v>
      </c>
      <c r="G27" s="3">
        <v>0</v>
      </c>
      <c r="H27" s="3">
        <f t="shared" si="0"/>
        <v>0</v>
      </c>
      <c r="I27" s="3">
        <f t="shared" si="1"/>
        <v>4</v>
      </c>
      <c r="J27" s="6">
        <f t="shared" si="2"/>
        <v>4</v>
      </c>
    </row>
    <row r="28" spans="1:10" ht="12.75">
      <c r="A28" t="s">
        <v>548</v>
      </c>
      <c r="B28" s="3">
        <v>19</v>
      </c>
      <c r="C28" s="3">
        <v>20</v>
      </c>
      <c r="D28" s="3">
        <v>0</v>
      </c>
      <c r="E28" s="3">
        <v>1</v>
      </c>
      <c r="F28" s="3">
        <v>0</v>
      </c>
      <c r="G28" s="3">
        <v>0</v>
      </c>
      <c r="H28" s="3">
        <f t="shared" si="0"/>
        <v>19</v>
      </c>
      <c r="I28" s="3">
        <f t="shared" si="1"/>
        <v>21</v>
      </c>
      <c r="J28" s="6">
        <f t="shared" si="2"/>
        <v>40</v>
      </c>
    </row>
    <row r="29" spans="1:10" ht="12.75">
      <c r="A29" t="s">
        <v>549</v>
      </c>
      <c r="B29" s="3">
        <v>0</v>
      </c>
      <c r="C29" s="3">
        <v>2</v>
      </c>
      <c r="D29" s="3">
        <v>0</v>
      </c>
      <c r="E29" s="3">
        <v>0</v>
      </c>
      <c r="F29" s="3">
        <v>0</v>
      </c>
      <c r="G29" s="3">
        <v>0</v>
      </c>
      <c r="H29" s="3">
        <f t="shared" si="0"/>
        <v>0</v>
      </c>
      <c r="I29" s="3">
        <f t="shared" si="1"/>
        <v>2</v>
      </c>
      <c r="J29" s="6">
        <f t="shared" si="2"/>
        <v>2</v>
      </c>
    </row>
    <row r="30" spans="1:10" ht="12.75">
      <c r="A30" t="s">
        <v>550</v>
      </c>
      <c r="B30" s="3">
        <v>1</v>
      </c>
      <c r="C30" s="3">
        <v>0</v>
      </c>
      <c r="D30" s="3">
        <v>0</v>
      </c>
      <c r="E30" s="3">
        <v>0</v>
      </c>
      <c r="F30" s="3">
        <v>0</v>
      </c>
      <c r="G30" s="3">
        <v>0</v>
      </c>
      <c r="H30" s="3">
        <f t="shared" si="0"/>
        <v>1</v>
      </c>
      <c r="I30" s="3">
        <f t="shared" si="1"/>
        <v>0</v>
      </c>
      <c r="J30" s="6">
        <f t="shared" si="2"/>
        <v>1</v>
      </c>
    </row>
    <row r="31" spans="1:10" ht="12.75">
      <c r="A31" t="s">
        <v>551</v>
      </c>
      <c r="B31" s="3">
        <v>0</v>
      </c>
      <c r="C31" s="3">
        <v>1</v>
      </c>
      <c r="D31" s="3">
        <v>0</v>
      </c>
      <c r="E31" s="3">
        <v>0</v>
      </c>
      <c r="F31" s="3">
        <v>0</v>
      </c>
      <c r="G31" s="3">
        <v>0</v>
      </c>
      <c r="H31" s="3">
        <f t="shared" si="0"/>
        <v>0</v>
      </c>
      <c r="I31" s="3">
        <f t="shared" si="1"/>
        <v>1</v>
      </c>
      <c r="J31" s="6">
        <f t="shared" si="2"/>
        <v>1</v>
      </c>
    </row>
    <row r="32" spans="1:10" ht="12.75">
      <c r="A32" t="s">
        <v>552</v>
      </c>
      <c r="B32" s="3">
        <v>1</v>
      </c>
      <c r="C32" s="3">
        <v>2</v>
      </c>
      <c r="D32" s="3">
        <v>0</v>
      </c>
      <c r="E32" s="3">
        <v>0</v>
      </c>
      <c r="F32" s="3">
        <v>0</v>
      </c>
      <c r="G32" s="3">
        <v>0</v>
      </c>
      <c r="H32" s="3">
        <f t="shared" si="0"/>
        <v>1</v>
      </c>
      <c r="I32" s="3">
        <f t="shared" si="1"/>
        <v>2</v>
      </c>
      <c r="J32" s="6">
        <f t="shared" si="2"/>
        <v>3</v>
      </c>
    </row>
    <row r="33" spans="1:10" ht="12.75">
      <c r="A33" t="s">
        <v>553</v>
      </c>
      <c r="B33" s="3">
        <v>1</v>
      </c>
      <c r="C33" s="3">
        <v>0</v>
      </c>
      <c r="D33" s="3">
        <v>0</v>
      </c>
      <c r="E33" s="3">
        <v>0</v>
      </c>
      <c r="F33" s="3">
        <v>0</v>
      </c>
      <c r="G33" s="3">
        <v>0</v>
      </c>
      <c r="H33" s="3">
        <f t="shared" si="0"/>
        <v>1</v>
      </c>
      <c r="I33" s="3">
        <f t="shared" si="1"/>
        <v>0</v>
      </c>
      <c r="J33" s="6">
        <f t="shared" si="2"/>
        <v>1</v>
      </c>
    </row>
    <row r="34" spans="1:10" ht="12.75">
      <c r="A34" t="s">
        <v>554</v>
      </c>
      <c r="B34" s="3">
        <v>2</v>
      </c>
      <c r="C34" s="3">
        <v>0</v>
      </c>
      <c r="D34" s="3">
        <v>0</v>
      </c>
      <c r="E34" s="3">
        <v>0</v>
      </c>
      <c r="F34" s="3">
        <v>0</v>
      </c>
      <c r="G34" s="3">
        <v>0</v>
      </c>
      <c r="H34" s="3">
        <f t="shared" si="0"/>
        <v>2</v>
      </c>
      <c r="I34" s="3">
        <f t="shared" si="1"/>
        <v>0</v>
      </c>
      <c r="J34" s="6">
        <f t="shared" si="2"/>
        <v>2</v>
      </c>
    </row>
    <row r="35" spans="1:10" ht="12.75">
      <c r="A35" t="s">
        <v>555</v>
      </c>
      <c r="B35" s="3">
        <v>11</v>
      </c>
      <c r="C35" s="3">
        <v>26</v>
      </c>
      <c r="D35" s="3">
        <v>0</v>
      </c>
      <c r="E35" s="3">
        <v>0</v>
      </c>
      <c r="F35" s="3">
        <v>0</v>
      </c>
      <c r="G35" s="3">
        <v>1</v>
      </c>
      <c r="H35" s="3">
        <f t="shared" si="0"/>
        <v>11</v>
      </c>
      <c r="I35" s="3">
        <f t="shared" si="1"/>
        <v>27</v>
      </c>
      <c r="J35" s="6">
        <f t="shared" si="2"/>
        <v>38</v>
      </c>
    </row>
    <row r="36" spans="1:10" ht="12.75">
      <c r="A36" t="s">
        <v>556</v>
      </c>
      <c r="B36" s="3">
        <v>289</v>
      </c>
      <c r="C36" s="3">
        <v>920</v>
      </c>
      <c r="D36" s="3">
        <v>1</v>
      </c>
      <c r="E36" s="3">
        <v>2</v>
      </c>
      <c r="F36" s="3">
        <v>0</v>
      </c>
      <c r="G36" s="3">
        <v>13</v>
      </c>
      <c r="H36" s="3">
        <f t="shared" si="0"/>
        <v>290</v>
      </c>
      <c r="I36" s="3">
        <f t="shared" si="1"/>
        <v>935</v>
      </c>
      <c r="J36" s="6">
        <f t="shared" si="2"/>
        <v>1225</v>
      </c>
    </row>
    <row r="37" spans="1:10" ht="12.75">
      <c r="A37" t="s">
        <v>557</v>
      </c>
      <c r="B37" s="3">
        <v>0</v>
      </c>
      <c r="C37" s="3">
        <v>2</v>
      </c>
      <c r="D37" s="3">
        <v>0</v>
      </c>
      <c r="E37" s="3">
        <v>0</v>
      </c>
      <c r="F37" s="3">
        <v>0</v>
      </c>
      <c r="G37" s="3">
        <v>0</v>
      </c>
      <c r="H37" s="3">
        <f t="shared" si="0"/>
        <v>0</v>
      </c>
      <c r="I37" s="3">
        <f t="shared" si="1"/>
        <v>2</v>
      </c>
      <c r="J37" s="6">
        <f t="shared" si="2"/>
        <v>2</v>
      </c>
    </row>
    <row r="38" spans="1:10" ht="12.75">
      <c r="A38" t="s">
        <v>558</v>
      </c>
      <c r="B38" s="3">
        <v>6</v>
      </c>
      <c r="C38" s="3">
        <v>1</v>
      </c>
      <c r="D38" s="3">
        <v>0</v>
      </c>
      <c r="E38" s="3">
        <v>0</v>
      </c>
      <c r="F38" s="3">
        <v>0</v>
      </c>
      <c r="G38" s="3">
        <v>0</v>
      </c>
      <c r="H38" s="3">
        <f t="shared" si="0"/>
        <v>6</v>
      </c>
      <c r="I38" s="3">
        <f t="shared" si="1"/>
        <v>1</v>
      </c>
      <c r="J38" s="6">
        <f t="shared" si="2"/>
        <v>7</v>
      </c>
    </row>
    <row r="39" spans="1:10" ht="12.75">
      <c r="A39" t="s">
        <v>559</v>
      </c>
      <c r="B39" s="3">
        <v>54</v>
      </c>
      <c r="C39" s="3">
        <v>88</v>
      </c>
      <c r="D39" s="3">
        <v>0</v>
      </c>
      <c r="E39" s="3">
        <v>0</v>
      </c>
      <c r="F39" s="3">
        <v>0</v>
      </c>
      <c r="G39" s="3">
        <v>2</v>
      </c>
      <c r="H39" s="3">
        <f t="shared" si="0"/>
        <v>54</v>
      </c>
      <c r="I39" s="3">
        <f t="shared" si="1"/>
        <v>90</v>
      </c>
      <c r="J39" s="6">
        <f t="shared" si="2"/>
        <v>144</v>
      </c>
    </row>
    <row r="40" spans="1:10" ht="12.75">
      <c r="A40" t="s">
        <v>560</v>
      </c>
      <c r="B40" s="3">
        <v>4</v>
      </c>
      <c r="C40" s="3">
        <v>0</v>
      </c>
      <c r="D40" s="3">
        <v>1</v>
      </c>
      <c r="E40" s="3">
        <v>0</v>
      </c>
      <c r="F40" s="3">
        <v>0</v>
      </c>
      <c r="G40" s="3">
        <v>0</v>
      </c>
      <c r="H40" s="3">
        <f t="shared" si="0"/>
        <v>5</v>
      </c>
      <c r="I40" s="3">
        <f t="shared" si="1"/>
        <v>0</v>
      </c>
      <c r="J40" s="6">
        <f t="shared" si="2"/>
        <v>5</v>
      </c>
    </row>
    <row r="41" spans="1:10" ht="12.75">
      <c r="A41" t="s">
        <v>561</v>
      </c>
      <c r="B41" s="3">
        <v>22</v>
      </c>
      <c r="C41" s="3">
        <v>15</v>
      </c>
      <c r="D41" s="3">
        <v>0</v>
      </c>
      <c r="E41" s="3">
        <v>0</v>
      </c>
      <c r="F41" s="3">
        <v>0</v>
      </c>
      <c r="G41" s="3">
        <v>0</v>
      </c>
      <c r="H41" s="3">
        <f t="shared" si="0"/>
        <v>22</v>
      </c>
      <c r="I41" s="3">
        <f t="shared" si="1"/>
        <v>15</v>
      </c>
      <c r="J41" s="6">
        <f t="shared" si="2"/>
        <v>37</v>
      </c>
    </row>
    <row r="42" spans="1:10" ht="12.75">
      <c r="A42" t="s">
        <v>562</v>
      </c>
      <c r="B42" s="3">
        <v>2</v>
      </c>
      <c r="C42" s="3">
        <v>0</v>
      </c>
      <c r="D42" s="3">
        <v>0</v>
      </c>
      <c r="E42" s="3">
        <v>0</v>
      </c>
      <c r="F42" s="3">
        <v>0</v>
      </c>
      <c r="G42" s="3">
        <v>0</v>
      </c>
      <c r="H42" s="3">
        <f aca="true" t="shared" si="3" ref="H42:H69">B42+D42+F42</f>
        <v>2</v>
      </c>
      <c r="I42" s="3">
        <f aca="true" t="shared" si="4" ref="I42:I69">C42+E42+G42</f>
        <v>0</v>
      </c>
      <c r="J42" s="6">
        <f aca="true" t="shared" si="5" ref="J42:J73">H42+I42</f>
        <v>2</v>
      </c>
    </row>
    <row r="43" spans="1:10" ht="12.75">
      <c r="A43" t="s">
        <v>563</v>
      </c>
      <c r="B43" s="3">
        <v>11</v>
      </c>
      <c r="C43" s="3">
        <v>69</v>
      </c>
      <c r="D43" s="3">
        <v>2</v>
      </c>
      <c r="E43" s="3">
        <v>1</v>
      </c>
      <c r="F43" s="3">
        <v>0</v>
      </c>
      <c r="G43" s="3">
        <v>1</v>
      </c>
      <c r="H43" s="3">
        <f t="shared" si="3"/>
        <v>13</v>
      </c>
      <c r="I43" s="3">
        <f t="shared" si="4"/>
        <v>71</v>
      </c>
      <c r="J43" s="6">
        <f t="shared" si="5"/>
        <v>84</v>
      </c>
    </row>
    <row r="44" spans="1:10" ht="12.75">
      <c r="A44" t="s">
        <v>564</v>
      </c>
      <c r="B44" s="3">
        <v>0</v>
      </c>
      <c r="C44" s="3">
        <v>1</v>
      </c>
      <c r="D44" s="3">
        <v>0</v>
      </c>
      <c r="E44" s="3">
        <v>0</v>
      </c>
      <c r="F44" s="3">
        <v>0</v>
      </c>
      <c r="G44" s="3">
        <v>0</v>
      </c>
      <c r="H44" s="3">
        <f t="shared" si="3"/>
        <v>0</v>
      </c>
      <c r="I44" s="3">
        <f t="shared" si="4"/>
        <v>1</v>
      </c>
      <c r="J44" s="6">
        <f t="shared" si="5"/>
        <v>1</v>
      </c>
    </row>
    <row r="45" spans="1:10" ht="12.75">
      <c r="A45" t="s">
        <v>565</v>
      </c>
      <c r="B45" s="3">
        <v>2</v>
      </c>
      <c r="C45" s="3">
        <v>0</v>
      </c>
      <c r="D45" s="3">
        <v>0</v>
      </c>
      <c r="E45" s="3">
        <v>0</v>
      </c>
      <c r="F45" s="3">
        <v>0</v>
      </c>
      <c r="G45" s="3">
        <v>0</v>
      </c>
      <c r="H45" s="3">
        <f t="shared" si="3"/>
        <v>2</v>
      </c>
      <c r="I45" s="3">
        <f t="shared" si="4"/>
        <v>0</v>
      </c>
      <c r="J45" s="6">
        <f t="shared" si="5"/>
        <v>2</v>
      </c>
    </row>
    <row r="46" spans="1:10" ht="12.75">
      <c r="A46" t="s">
        <v>566</v>
      </c>
      <c r="B46" s="3">
        <v>1</v>
      </c>
      <c r="C46" s="3">
        <v>1</v>
      </c>
      <c r="D46" s="3">
        <v>0</v>
      </c>
      <c r="E46" s="3">
        <v>0</v>
      </c>
      <c r="F46" s="3">
        <v>0</v>
      </c>
      <c r="G46" s="3">
        <v>0</v>
      </c>
      <c r="H46" s="3">
        <f t="shared" si="3"/>
        <v>1</v>
      </c>
      <c r="I46" s="3">
        <f t="shared" si="4"/>
        <v>1</v>
      </c>
      <c r="J46" s="6">
        <f t="shared" si="5"/>
        <v>2</v>
      </c>
    </row>
    <row r="47" spans="1:10" ht="12.75">
      <c r="A47" t="s">
        <v>567</v>
      </c>
      <c r="B47" s="3">
        <v>1</v>
      </c>
      <c r="C47" s="3">
        <v>0</v>
      </c>
      <c r="D47" s="3">
        <v>0</v>
      </c>
      <c r="E47" s="3">
        <v>0</v>
      </c>
      <c r="F47" s="3">
        <v>0</v>
      </c>
      <c r="G47" s="3">
        <v>0</v>
      </c>
      <c r="H47" s="3">
        <f t="shared" si="3"/>
        <v>1</v>
      </c>
      <c r="I47" s="3">
        <f t="shared" si="4"/>
        <v>0</v>
      </c>
      <c r="J47" s="6">
        <f t="shared" si="5"/>
        <v>1</v>
      </c>
    </row>
    <row r="48" spans="1:10" ht="12.75">
      <c r="A48" t="s">
        <v>568</v>
      </c>
      <c r="B48" s="3">
        <v>0</v>
      </c>
      <c r="C48" s="3">
        <v>1</v>
      </c>
      <c r="D48" s="3">
        <v>0</v>
      </c>
      <c r="E48" s="3">
        <v>0</v>
      </c>
      <c r="F48" s="3">
        <v>0</v>
      </c>
      <c r="G48" s="3">
        <v>0</v>
      </c>
      <c r="H48" s="3">
        <f t="shared" si="3"/>
        <v>0</v>
      </c>
      <c r="I48" s="3">
        <f t="shared" si="4"/>
        <v>1</v>
      </c>
      <c r="J48" s="6">
        <f t="shared" si="5"/>
        <v>1</v>
      </c>
    </row>
    <row r="49" spans="1:10" ht="12.75">
      <c r="A49" t="s">
        <v>569</v>
      </c>
      <c r="B49" s="3">
        <v>0</v>
      </c>
      <c r="C49" s="3">
        <v>1</v>
      </c>
      <c r="D49" s="3">
        <v>0</v>
      </c>
      <c r="E49" s="3">
        <v>0</v>
      </c>
      <c r="F49" s="3">
        <v>0</v>
      </c>
      <c r="G49" s="3">
        <v>0</v>
      </c>
      <c r="H49" s="3">
        <f t="shared" si="3"/>
        <v>0</v>
      </c>
      <c r="I49" s="3">
        <f t="shared" si="4"/>
        <v>1</v>
      </c>
      <c r="J49" s="6">
        <f t="shared" si="5"/>
        <v>1</v>
      </c>
    </row>
    <row r="50" spans="1:10" ht="12.75">
      <c r="A50" t="s">
        <v>570</v>
      </c>
      <c r="B50" s="3">
        <v>0</v>
      </c>
      <c r="C50" s="3">
        <v>4</v>
      </c>
      <c r="D50" s="3">
        <v>0</v>
      </c>
      <c r="E50" s="3">
        <v>0</v>
      </c>
      <c r="F50" s="3">
        <v>0</v>
      </c>
      <c r="G50" s="3">
        <v>0</v>
      </c>
      <c r="H50" s="3">
        <f t="shared" si="3"/>
        <v>0</v>
      </c>
      <c r="I50" s="3">
        <f t="shared" si="4"/>
        <v>4</v>
      </c>
      <c r="J50" s="6">
        <f t="shared" si="5"/>
        <v>4</v>
      </c>
    </row>
    <row r="51" spans="1:10" ht="12.75">
      <c r="A51" t="s">
        <v>571</v>
      </c>
      <c r="B51" s="3">
        <v>2</v>
      </c>
      <c r="C51" s="3">
        <v>18</v>
      </c>
      <c r="D51" s="3">
        <v>0</v>
      </c>
      <c r="E51" s="3">
        <v>1</v>
      </c>
      <c r="F51" s="3">
        <v>0</v>
      </c>
      <c r="G51" s="3">
        <v>0</v>
      </c>
      <c r="H51" s="3">
        <f t="shared" si="3"/>
        <v>2</v>
      </c>
      <c r="I51" s="3">
        <f t="shared" si="4"/>
        <v>19</v>
      </c>
      <c r="J51" s="6">
        <f t="shared" si="5"/>
        <v>21</v>
      </c>
    </row>
    <row r="52" spans="1:10" ht="12.75">
      <c r="A52" t="s">
        <v>572</v>
      </c>
      <c r="B52" s="3">
        <v>3</v>
      </c>
      <c r="C52" s="3">
        <v>0</v>
      </c>
      <c r="D52" s="3">
        <v>0</v>
      </c>
      <c r="E52" s="3">
        <v>0</v>
      </c>
      <c r="F52" s="3">
        <v>0</v>
      </c>
      <c r="G52" s="3">
        <v>0</v>
      </c>
      <c r="H52" s="3">
        <f t="shared" si="3"/>
        <v>3</v>
      </c>
      <c r="I52" s="3">
        <f t="shared" si="4"/>
        <v>0</v>
      </c>
      <c r="J52" s="6">
        <f t="shared" si="5"/>
        <v>3</v>
      </c>
    </row>
    <row r="53" spans="1:10" ht="12.75">
      <c r="A53" t="s">
        <v>573</v>
      </c>
      <c r="B53" s="3">
        <v>8</v>
      </c>
      <c r="C53" s="3">
        <v>3</v>
      </c>
      <c r="D53" s="3">
        <v>0</v>
      </c>
      <c r="E53" s="3">
        <v>0</v>
      </c>
      <c r="F53" s="3">
        <v>0</v>
      </c>
      <c r="G53" s="3">
        <v>0</v>
      </c>
      <c r="H53" s="3">
        <f t="shared" si="3"/>
        <v>8</v>
      </c>
      <c r="I53" s="3">
        <f t="shared" si="4"/>
        <v>3</v>
      </c>
      <c r="J53" s="6">
        <f t="shared" si="5"/>
        <v>11</v>
      </c>
    </row>
    <row r="54" spans="1:10" ht="12.75">
      <c r="A54" t="s">
        <v>574</v>
      </c>
      <c r="B54" s="3">
        <v>12</v>
      </c>
      <c r="C54" s="3">
        <v>5</v>
      </c>
      <c r="D54" s="3">
        <v>0</v>
      </c>
      <c r="E54" s="3">
        <v>0</v>
      </c>
      <c r="F54" s="3">
        <v>0</v>
      </c>
      <c r="G54" s="3">
        <v>0</v>
      </c>
      <c r="H54" s="3">
        <f t="shared" si="3"/>
        <v>12</v>
      </c>
      <c r="I54" s="3">
        <f t="shared" si="4"/>
        <v>5</v>
      </c>
      <c r="J54" s="6">
        <f t="shared" si="5"/>
        <v>17</v>
      </c>
    </row>
    <row r="55" spans="1:10" ht="12.75">
      <c r="A55" t="s">
        <v>575</v>
      </c>
      <c r="B55" s="3">
        <v>3</v>
      </c>
      <c r="C55" s="3">
        <v>2</v>
      </c>
      <c r="D55" s="3">
        <v>0</v>
      </c>
      <c r="E55" s="3">
        <v>0</v>
      </c>
      <c r="F55" s="3">
        <v>0</v>
      </c>
      <c r="G55" s="3">
        <v>0</v>
      </c>
      <c r="H55" s="3">
        <f t="shared" si="3"/>
        <v>3</v>
      </c>
      <c r="I55" s="3">
        <f t="shared" si="4"/>
        <v>2</v>
      </c>
      <c r="J55" s="6">
        <f t="shared" si="5"/>
        <v>5</v>
      </c>
    </row>
    <row r="56" spans="1:10" ht="12.75">
      <c r="A56" t="s">
        <v>576</v>
      </c>
      <c r="B56" s="3">
        <v>4</v>
      </c>
      <c r="C56" s="3">
        <v>0</v>
      </c>
      <c r="D56" s="3">
        <v>0</v>
      </c>
      <c r="E56" s="3">
        <v>0</v>
      </c>
      <c r="F56" s="3">
        <v>0</v>
      </c>
      <c r="G56" s="3">
        <v>0</v>
      </c>
      <c r="H56" s="3">
        <f t="shared" si="3"/>
        <v>4</v>
      </c>
      <c r="I56" s="3">
        <f t="shared" si="4"/>
        <v>0</v>
      </c>
      <c r="J56" s="6">
        <f t="shared" si="5"/>
        <v>4</v>
      </c>
    </row>
    <row r="57" spans="1:10" ht="12.75">
      <c r="A57" t="s">
        <v>577</v>
      </c>
      <c r="B57" s="3">
        <v>5</v>
      </c>
      <c r="C57" s="3">
        <v>2</v>
      </c>
      <c r="D57" s="3">
        <v>0</v>
      </c>
      <c r="E57" s="3">
        <v>0</v>
      </c>
      <c r="F57" s="3">
        <v>0</v>
      </c>
      <c r="G57" s="3">
        <v>0</v>
      </c>
      <c r="H57" s="3">
        <f t="shared" si="3"/>
        <v>5</v>
      </c>
      <c r="I57" s="3">
        <f t="shared" si="4"/>
        <v>2</v>
      </c>
      <c r="J57" s="6">
        <f t="shared" si="5"/>
        <v>7</v>
      </c>
    </row>
    <row r="58" spans="1:10" ht="12.75">
      <c r="A58" t="s">
        <v>578</v>
      </c>
      <c r="B58" s="3">
        <v>30</v>
      </c>
      <c r="C58" s="3">
        <v>81</v>
      </c>
      <c r="D58" s="3">
        <v>0</v>
      </c>
      <c r="E58" s="3">
        <v>0</v>
      </c>
      <c r="F58" s="3">
        <v>0</v>
      </c>
      <c r="G58" s="3">
        <v>0</v>
      </c>
      <c r="H58" s="3">
        <f t="shared" si="3"/>
        <v>30</v>
      </c>
      <c r="I58" s="3">
        <f t="shared" si="4"/>
        <v>81</v>
      </c>
      <c r="J58" s="6">
        <f t="shared" si="5"/>
        <v>111</v>
      </c>
    </row>
    <row r="59" spans="1:10" ht="12.75">
      <c r="A59" t="s">
        <v>579</v>
      </c>
      <c r="B59" s="3">
        <v>33</v>
      </c>
      <c r="C59" s="3">
        <v>29</v>
      </c>
      <c r="D59" s="3">
        <v>1</v>
      </c>
      <c r="E59" s="3">
        <v>0</v>
      </c>
      <c r="F59" s="3">
        <v>1</v>
      </c>
      <c r="G59" s="3">
        <v>0</v>
      </c>
      <c r="H59" s="3">
        <f t="shared" si="3"/>
        <v>35</v>
      </c>
      <c r="I59" s="3">
        <f t="shared" si="4"/>
        <v>29</v>
      </c>
      <c r="J59" s="6">
        <f t="shared" si="5"/>
        <v>64</v>
      </c>
    </row>
    <row r="60" spans="1:10" ht="12.75">
      <c r="A60" t="s">
        <v>580</v>
      </c>
      <c r="B60" s="3">
        <v>1</v>
      </c>
      <c r="C60" s="3">
        <v>0</v>
      </c>
      <c r="D60" s="3">
        <v>0</v>
      </c>
      <c r="E60" s="3">
        <v>0</v>
      </c>
      <c r="F60" s="3">
        <v>0</v>
      </c>
      <c r="G60" s="3">
        <v>0</v>
      </c>
      <c r="H60" s="3">
        <f t="shared" si="3"/>
        <v>1</v>
      </c>
      <c r="I60" s="3">
        <f t="shared" si="4"/>
        <v>0</v>
      </c>
      <c r="J60" s="6">
        <f t="shared" si="5"/>
        <v>1</v>
      </c>
    </row>
    <row r="61" spans="1:10" ht="12.75">
      <c r="A61" t="s">
        <v>581</v>
      </c>
      <c r="B61" s="3">
        <v>23</v>
      </c>
      <c r="C61" s="3">
        <v>67</v>
      </c>
      <c r="D61" s="3">
        <v>0</v>
      </c>
      <c r="E61" s="3">
        <v>0</v>
      </c>
      <c r="F61" s="3">
        <v>0</v>
      </c>
      <c r="G61" s="3">
        <v>0</v>
      </c>
      <c r="H61" s="3">
        <f t="shared" si="3"/>
        <v>23</v>
      </c>
      <c r="I61" s="3">
        <f t="shared" si="4"/>
        <v>67</v>
      </c>
      <c r="J61" s="6">
        <f t="shared" si="5"/>
        <v>90</v>
      </c>
    </row>
    <row r="62" spans="1:10" ht="12.75">
      <c r="A62" t="s">
        <v>582</v>
      </c>
      <c r="B62" s="3">
        <v>1</v>
      </c>
      <c r="C62" s="3">
        <v>0</v>
      </c>
      <c r="D62" s="3">
        <v>0</v>
      </c>
      <c r="E62" s="3">
        <v>0</v>
      </c>
      <c r="F62" s="3">
        <v>0</v>
      </c>
      <c r="G62" s="3">
        <v>0</v>
      </c>
      <c r="H62" s="3">
        <f t="shared" si="3"/>
        <v>1</v>
      </c>
      <c r="I62" s="3">
        <f t="shared" si="4"/>
        <v>0</v>
      </c>
      <c r="J62" s="6">
        <f t="shared" si="5"/>
        <v>1</v>
      </c>
    </row>
    <row r="63" spans="1:10" ht="12.75">
      <c r="A63" t="s">
        <v>583</v>
      </c>
      <c r="B63" s="3">
        <v>1</v>
      </c>
      <c r="C63" s="3">
        <v>8</v>
      </c>
      <c r="D63" s="3">
        <v>0</v>
      </c>
      <c r="E63" s="3">
        <v>0</v>
      </c>
      <c r="F63" s="3">
        <v>0</v>
      </c>
      <c r="G63" s="3">
        <v>0</v>
      </c>
      <c r="H63" s="3">
        <f t="shared" si="3"/>
        <v>1</v>
      </c>
      <c r="I63" s="3">
        <f t="shared" si="4"/>
        <v>8</v>
      </c>
      <c r="J63" s="6">
        <f t="shared" si="5"/>
        <v>9</v>
      </c>
    </row>
    <row r="64" spans="1:10" ht="12.75">
      <c r="A64" t="s">
        <v>584</v>
      </c>
      <c r="B64" s="3">
        <v>1</v>
      </c>
      <c r="C64" s="3">
        <v>1</v>
      </c>
      <c r="D64" s="3">
        <v>0</v>
      </c>
      <c r="E64" s="3">
        <v>0</v>
      </c>
      <c r="F64" s="3">
        <v>0</v>
      </c>
      <c r="G64" s="3">
        <v>0</v>
      </c>
      <c r="H64" s="3">
        <f t="shared" si="3"/>
        <v>1</v>
      </c>
      <c r="I64" s="3">
        <f t="shared" si="4"/>
        <v>1</v>
      </c>
      <c r="J64" s="6">
        <f t="shared" si="5"/>
        <v>2</v>
      </c>
    </row>
    <row r="65" spans="1:10" ht="12.75">
      <c r="A65" t="s">
        <v>585</v>
      </c>
      <c r="B65" s="3">
        <v>25</v>
      </c>
      <c r="C65" s="3">
        <v>37</v>
      </c>
      <c r="D65" s="3">
        <v>0</v>
      </c>
      <c r="E65" s="3">
        <v>0</v>
      </c>
      <c r="F65" s="3">
        <v>0</v>
      </c>
      <c r="G65" s="3">
        <v>5</v>
      </c>
      <c r="H65" s="3">
        <f t="shared" si="3"/>
        <v>25</v>
      </c>
      <c r="I65" s="3">
        <f t="shared" si="4"/>
        <v>42</v>
      </c>
      <c r="J65" s="6">
        <f t="shared" si="5"/>
        <v>67</v>
      </c>
    </row>
    <row r="66" spans="1:10" ht="12.75">
      <c r="A66" t="s">
        <v>586</v>
      </c>
      <c r="B66" s="3">
        <v>52</v>
      </c>
      <c r="C66" s="3">
        <v>70</v>
      </c>
      <c r="D66" s="3">
        <v>0</v>
      </c>
      <c r="E66" s="3">
        <v>0</v>
      </c>
      <c r="F66" s="3">
        <v>0</v>
      </c>
      <c r="G66" s="3">
        <v>4</v>
      </c>
      <c r="H66" s="3">
        <f t="shared" si="3"/>
        <v>52</v>
      </c>
      <c r="I66" s="3">
        <f t="shared" si="4"/>
        <v>74</v>
      </c>
      <c r="J66" s="6">
        <f t="shared" si="5"/>
        <v>126</v>
      </c>
    </row>
    <row r="67" spans="1:10" ht="12.75">
      <c r="A67" t="s">
        <v>587</v>
      </c>
      <c r="B67" s="3">
        <v>0</v>
      </c>
      <c r="C67" s="3">
        <v>2</v>
      </c>
      <c r="D67" s="3">
        <v>0</v>
      </c>
      <c r="E67" s="3">
        <v>0</v>
      </c>
      <c r="F67" s="3">
        <v>0</v>
      </c>
      <c r="G67" s="3">
        <v>0</v>
      </c>
      <c r="H67" s="3">
        <f t="shared" si="3"/>
        <v>0</v>
      </c>
      <c r="I67" s="3">
        <f t="shared" si="4"/>
        <v>2</v>
      </c>
      <c r="J67" s="6">
        <f t="shared" si="5"/>
        <v>2</v>
      </c>
    </row>
    <row r="68" spans="1:10" ht="12.75">
      <c r="A68" t="s">
        <v>588</v>
      </c>
      <c r="B68" s="3">
        <v>12</v>
      </c>
      <c r="C68" s="3">
        <v>16</v>
      </c>
      <c r="D68" s="3">
        <v>0</v>
      </c>
      <c r="E68" s="3">
        <v>0</v>
      </c>
      <c r="F68" s="3">
        <v>0</v>
      </c>
      <c r="G68" s="3">
        <v>0</v>
      </c>
      <c r="H68" s="3">
        <f t="shared" si="3"/>
        <v>12</v>
      </c>
      <c r="I68" s="3">
        <f t="shared" si="4"/>
        <v>16</v>
      </c>
      <c r="J68" s="6">
        <f t="shared" si="5"/>
        <v>28</v>
      </c>
    </row>
    <row r="69" spans="1:10" ht="12.75">
      <c r="A69" t="s">
        <v>589</v>
      </c>
      <c r="B69" s="3">
        <v>0</v>
      </c>
      <c r="C69" s="3">
        <v>4</v>
      </c>
      <c r="D69" s="3">
        <v>0</v>
      </c>
      <c r="E69" s="3">
        <v>0</v>
      </c>
      <c r="F69" s="3">
        <v>1</v>
      </c>
      <c r="G69" s="3">
        <v>0</v>
      </c>
      <c r="H69" s="3">
        <f t="shared" si="3"/>
        <v>1</v>
      </c>
      <c r="I69" s="3">
        <f t="shared" si="4"/>
        <v>4</v>
      </c>
      <c r="J69" s="6">
        <f t="shared" si="5"/>
        <v>5</v>
      </c>
    </row>
    <row r="70" spans="1:10" ht="12.75">
      <c r="A70" s="2" t="s">
        <v>527</v>
      </c>
      <c r="B70" s="6">
        <f aca="true" t="shared" si="6" ref="B70:J70">SUM(B10:B69)</f>
        <v>928</v>
      </c>
      <c r="C70" s="6">
        <f t="shared" si="6"/>
        <v>1752</v>
      </c>
      <c r="D70" s="6">
        <f t="shared" si="6"/>
        <v>5</v>
      </c>
      <c r="E70" s="6">
        <f t="shared" si="6"/>
        <v>5</v>
      </c>
      <c r="F70" s="6">
        <f t="shared" si="6"/>
        <v>2</v>
      </c>
      <c r="G70" s="6">
        <f t="shared" si="6"/>
        <v>31</v>
      </c>
      <c r="H70" s="6">
        <f t="shared" si="6"/>
        <v>935</v>
      </c>
      <c r="I70" s="6">
        <f t="shared" si="6"/>
        <v>1788</v>
      </c>
      <c r="J70" s="6">
        <f t="shared" si="6"/>
        <v>2723</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O31"/>
  <sheetViews>
    <sheetView zoomScalePageLayoutView="0" workbookViewId="0" topLeftCell="A1">
      <selection activeCell="A1" sqref="A1"/>
    </sheetView>
  </sheetViews>
  <sheetFormatPr defaultColWidth="9.140625" defaultRowHeight="12.75"/>
  <sheetData>
    <row r="1" ht="18">
      <c r="A1" s="1" t="s">
        <v>590</v>
      </c>
    </row>
    <row r="5" spans="1:14" ht="12.75">
      <c r="A5" s="2" t="s">
        <v>591</v>
      </c>
      <c r="B5" s="2" t="s">
        <v>592</v>
      </c>
      <c r="F5" s="2" t="s">
        <v>593</v>
      </c>
      <c r="J5" s="2" t="s">
        <v>594</v>
      </c>
      <c r="L5" s="2" t="s">
        <v>595</v>
      </c>
      <c r="N5" s="2" t="s">
        <v>596</v>
      </c>
    </row>
    <row r="6" spans="2:8" ht="12.75">
      <c r="B6" t="s">
        <v>523</v>
      </c>
      <c r="D6" t="s">
        <v>597</v>
      </c>
      <c r="F6" t="s">
        <v>523</v>
      </c>
      <c r="H6" t="s">
        <v>597</v>
      </c>
    </row>
    <row r="7" spans="2:15" ht="12.75">
      <c r="B7" t="s">
        <v>598</v>
      </c>
      <c r="C7" t="s">
        <v>599</v>
      </c>
      <c r="D7" t="s">
        <v>600</v>
      </c>
      <c r="E7" t="s">
        <v>601</v>
      </c>
      <c r="F7" t="s">
        <v>528</v>
      </c>
      <c r="G7" t="s">
        <v>529</v>
      </c>
      <c r="H7" t="s">
        <v>528</v>
      </c>
      <c r="I7" t="s">
        <v>529</v>
      </c>
      <c r="J7" t="s">
        <v>528</v>
      </c>
      <c r="K7" t="s">
        <v>529</v>
      </c>
      <c r="L7" t="s">
        <v>528</v>
      </c>
      <c r="M7" t="s">
        <v>529</v>
      </c>
      <c r="N7" t="s">
        <v>602</v>
      </c>
      <c r="O7" t="s">
        <v>603</v>
      </c>
    </row>
    <row r="8" ht="12.75">
      <c r="A8" t="s">
        <v>604</v>
      </c>
    </row>
    <row r="9" ht="12.75">
      <c r="A9" t="s">
        <v>605</v>
      </c>
    </row>
    <row r="10" spans="1:15" ht="12.75">
      <c r="A10" t="s">
        <v>606</v>
      </c>
      <c r="B10" s="3">
        <v>34</v>
      </c>
      <c r="C10" s="3">
        <v>163</v>
      </c>
      <c r="D10" s="3">
        <v>0</v>
      </c>
      <c r="E10" s="3">
        <v>2</v>
      </c>
      <c r="F10" s="3">
        <v>4</v>
      </c>
      <c r="G10" s="3">
        <v>6</v>
      </c>
      <c r="H10" s="3">
        <v>0</v>
      </c>
      <c r="I10" s="3">
        <v>0</v>
      </c>
      <c r="J10" s="3">
        <v>0</v>
      </c>
      <c r="K10" s="3">
        <v>0</v>
      </c>
      <c r="L10" s="3">
        <v>0</v>
      </c>
      <c r="M10" s="3">
        <v>1</v>
      </c>
      <c r="N10" s="6">
        <f aca="true" t="shared" si="0" ref="N10:O12">B10+D10</f>
        <v>34</v>
      </c>
      <c r="O10" s="6">
        <f t="shared" si="0"/>
        <v>165</v>
      </c>
    </row>
    <row r="11" spans="1:15" ht="12.75">
      <c r="A11" t="s">
        <v>607</v>
      </c>
      <c r="B11" s="3">
        <v>0</v>
      </c>
      <c r="C11" s="3">
        <v>30</v>
      </c>
      <c r="D11" s="3">
        <v>0</v>
      </c>
      <c r="E11" s="3">
        <v>0</v>
      </c>
      <c r="F11" s="3">
        <v>0</v>
      </c>
      <c r="G11" s="3">
        <v>2</v>
      </c>
      <c r="H11" s="3">
        <v>0</v>
      </c>
      <c r="I11" s="3">
        <v>0</v>
      </c>
      <c r="J11" s="3">
        <v>0</v>
      </c>
      <c r="K11" s="3">
        <v>0</v>
      </c>
      <c r="L11" s="3">
        <v>0</v>
      </c>
      <c r="M11" s="3">
        <v>1</v>
      </c>
      <c r="N11" s="6">
        <f t="shared" si="0"/>
        <v>0</v>
      </c>
      <c r="O11" s="6">
        <f t="shared" si="0"/>
        <v>30</v>
      </c>
    </row>
    <row r="12" spans="1:15" ht="12.75">
      <c r="A12" t="s">
        <v>608</v>
      </c>
      <c r="B12" s="3">
        <v>0</v>
      </c>
      <c r="C12" s="3">
        <v>8</v>
      </c>
      <c r="D12" s="3">
        <v>0</v>
      </c>
      <c r="E12" s="3">
        <v>0</v>
      </c>
      <c r="F12" s="3">
        <v>0</v>
      </c>
      <c r="G12" s="3">
        <v>0</v>
      </c>
      <c r="H12" s="3">
        <v>0</v>
      </c>
      <c r="I12" s="3">
        <v>0</v>
      </c>
      <c r="J12" s="3">
        <v>0</v>
      </c>
      <c r="K12" s="3">
        <v>0</v>
      </c>
      <c r="L12" s="3">
        <v>0</v>
      </c>
      <c r="M12" s="3">
        <v>0</v>
      </c>
      <c r="N12" s="6">
        <f t="shared" si="0"/>
        <v>0</v>
      </c>
      <c r="O12" s="6">
        <f t="shared" si="0"/>
        <v>8</v>
      </c>
    </row>
    <row r="13" ht="12.75">
      <c r="A13" t="s">
        <v>609</v>
      </c>
    </row>
    <row r="14" spans="1:15" ht="12.75">
      <c r="A14" t="s">
        <v>606</v>
      </c>
      <c r="B14" s="3">
        <v>0</v>
      </c>
      <c r="C14" s="3">
        <v>1</v>
      </c>
      <c r="D14" s="3">
        <v>0</v>
      </c>
      <c r="E14" s="3">
        <v>0</v>
      </c>
      <c r="F14" s="3">
        <v>0</v>
      </c>
      <c r="G14" s="3">
        <v>0</v>
      </c>
      <c r="H14" s="3">
        <v>0</v>
      </c>
      <c r="I14" s="3">
        <v>0</v>
      </c>
      <c r="J14" s="3">
        <v>0</v>
      </c>
      <c r="K14" s="3">
        <v>0</v>
      </c>
      <c r="L14" s="3">
        <v>0</v>
      </c>
      <c r="M14" s="3">
        <v>0</v>
      </c>
      <c r="N14" s="6">
        <f>B14+D14</f>
        <v>0</v>
      </c>
      <c r="O14" s="6">
        <f>C14+E14</f>
        <v>1</v>
      </c>
    </row>
    <row r="15" ht="12.75">
      <c r="A15" t="s">
        <v>610</v>
      </c>
    </row>
    <row r="16" ht="12.75">
      <c r="A16" t="s">
        <v>605</v>
      </c>
    </row>
    <row r="17" spans="1:15" ht="12.75">
      <c r="A17" t="s">
        <v>611</v>
      </c>
      <c r="B17" s="3">
        <v>1</v>
      </c>
      <c r="C17" s="3">
        <v>0</v>
      </c>
      <c r="D17" s="3">
        <v>0</v>
      </c>
      <c r="E17" s="3">
        <v>0</v>
      </c>
      <c r="F17" s="3">
        <v>0</v>
      </c>
      <c r="G17" s="3">
        <v>1</v>
      </c>
      <c r="H17" s="3">
        <v>0</v>
      </c>
      <c r="I17" s="3">
        <v>0</v>
      </c>
      <c r="J17" s="3">
        <v>0</v>
      </c>
      <c r="K17" s="3">
        <v>0</v>
      </c>
      <c r="L17" s="3">
        <v>0</v>
      </c>
      <c r="M17" s="3">
        <v>0</v>
      </c>
      <c r="N17" s="6">
        <f aca="true" t="shared" si="1" ref="N17:O22">B17+D17</f>
        <v>1</v>
      </c>
      <c r="O17" s="6">
        <f t="shared" si="1"/>
        <v>0</v>
      </c>
    </row>
    <row r="18" spans="1:15" ht="12.75">
      <c r="A18" t="s">
        <v>612</v>
      </c>
      <c r="B18" s="3">
        <v>0</v>
      </c>
      <c r="C18" s="3">
        <v>1</v>
      </c>
      <c r="D18" s="3">
        <v>0</v>
      </c>
      <c r="E18" s="3">
        <v>0</v>
      </c>
      <c r="F18" s="3">
        <v>0</v>
      </c>
      <c r="G18" s="3">
        <v>0</v>
      </c>
      <c r="H18" s="3">
        <v>0</v>
      </c>
      <c r="I18" s="3">
        <v>0</v>
      </c>
      <c r="J18" s="3">
        <v>0</v>
      </c>
      <c r="K18" s="3">
        <v>0</v>
      </c>
      <c r="L18" s="3">
        <v>0</v>
      </c>
      <c r="M18" s="3">
        <v>0</v>
      </c>
      <c r="N18" s="6">
        <f t="shared" si="1"/>
        <v>0</v>
      </c>
      <c r="O18" s="6">
        <f t="shared" si="1"/>
        <v>1</v>
      </c>
    </row>
    <row r="19" spans="1:15" ht="12.75">
      <c r="A19" t="s">
        <v>613</v>
      </c>
      <c r="B19" s="3">
        <v>0</v>
      </c>
      <c r="C19" s="3">
        <v>4</v>
      </c>
      <c r="D19" s="3">
        <v>1</v>
      </c>
      <c r="E19" s="3">
        <v>0</v>
      </c>
      <c r="F19" s="3">
        <v>0</v>
      </c>
      <c r="G19" s="3">
        <v>0</v>
      </c>
      <c r="H19" s="3">
        <v>0</v>
      </c>
      <c r="I19" s="3">
        <v>0</v>
      </c>
      <c r="J19" s="3">
        <v>0</v>
      </c>
      <c r="K19" s="3">
        <v>0</v>
      </c>
      <c r="L19" s="3">
        <v>0</v>
      </c>
      <c r="M19" s="3">
        <v>0</v>
      </c>
      <c r="N19" s="6">
        <f t="shared" si="1"/>
        <v>1</v>
      </c>
      <c r="O19" s="6">
        <f t="shared" si="1"/>
        <v>4</v>
      </c>
    </row>
    <row r="20" spans="1:15" ht="12.75">
      <c r="A20" t="s">
        <v>614</v>
      </c>
      <c r="B20" s="3">
        <v>25</v>
      </c>
      <c r="C20" s="3">
        <v>10</v>
      </c>
      <c r="D20" s="3">
        <v>0</v>
      </c>
      <c r="E20" s="3">
        <v>0</v>
      </c>
      <c r="F20" s="3">
        <v>3</v>
      </c>
      <c r="G20" s="3">
        <v>1</v>
      </c>
      <c r="H20" s="3">
        <v>0</v>
      </c>
      <c r="I20" s="3">
        <v>0</v>
      </c>
      <c r="J20" s="3">
        <v>0</v>
      </c>
      <c r="K20" s="3">
        <v>0</v>
      </c>
      <c r="L20" s="3">
        <v>1</v>
      </c>
      <c r="M20" s="3">
        <v>1</v>
      </c>
      <c r="N20" s="6">
        <f t="shared" si="1"/>
        <v>25</v>
      </c>
      <c r="O20" s="6">
        <f t="shared" si="1"/>
        <v>10</v>
      </c>
    </row>
    <row r="21" spans="1:15" ht="12.75">
      <c r="A21" t="s">
        <v>615</v>
      </c>
      <c r="B21" s="3">
        <v>1</v>
      </c>
      <c r="C21" s="3">
        <v>1</v>
      </c>
      <c r="D21" s="3">
        <v>0</v>
      </c>
      <c r="E21" s="3">
        <v>0</v>
      </c>
      <c r="F21" s="3">
        <v>0</v>
      </c>
      <c r="G21" s="3">
        <v>0</v>
      </c>
      <c r="H21" s="3">
        <v>0</v>
      </c>
      <c r="I21" s="3">
        <v>0</v>
      </c>
      <c r="J21" s="3">
        <v>0</v>
      </c>
      <c r="K21" s="3">
        <v>0</v>
      </c>
      <c r="L21" s="3">
        <v>0</v>
      </c>
      <c r="M21" s="3">
        <v>0</v>
      </c>
      <c r="N21" s="6">
        <f t="shared" si="1"/>
        <v>1</v>
      </c>
      <c r="O21" s="6">
        <f t="shared" si="1"/>
        <v>1</v>
      </c>
    </row>
    <row r="22" spans="1:15" ht="12.75">
      <c r="A22" t="s">
        <v>616</v>
      </c>
      <c r="B22" s="3">
        <v>2</v>
      </c>
      <c r="C22" s="3">
        <v>0</v>
      </c>
      <c r="D22" s="3">
        <v>0</v>
      </c>
      <c r="E22" s="3">
        <v>0</v>
      </c>
      <c r="F22" s="3">
        <v>0</v>
      </c>
      <c r="G22" s="3">
        <v>0</v>
      </c>
      <c r="H22" s="3">
        <v>0</v>
      </c>
      <c r="I22" s="3">
        <v>0</v>
      </c>
      <c r="J22" s="3">
        <v>0</v>
      </c>
      <c r="K22" s="3">
        <v>0</v>
      </c>
      <c r="L22" s="3">
        <v>0</v>
      </c>
      <c r="M22" s="3">
        <v>0</v>
      </c>
      <c r="N22" s="6">
        <f t="shared" si="1"/>
        <v>2</v>
      </c>
      <c r="O22" s="6">
        <f t="shared" si="1"/>
        <v>0</v>
      </c>
    </row>
    <row r="23" ht="12.75">
      <c r="A23" t="s">
        <v>617</v>
      </c>
    </row>
    <row r="24" ht="12.75">
      <c r="A24" t="s">
        <v>605</v>
      </c>
    </row>
    <row r="25" spans="1:15" ht="12.75">
      <c r="A25" t="s">
        <v>618</v>
      </c>
      <c r="B25" s="3">
        <v>6</v>
      </c>
      <c r="C25" s="3">
        <v>22</v>
      </c>
      <c r="D25" s="3">
        <v>1</v>
      </c>
      <c r="E25" s="3">
        <v>1</v>
      </c>
      <c r="F25" s="3">
        <v>0</v>
      </c>
      <c r="G25" s="3">
        <v>1</v>
      </c>
      <c r="H25" s="3">
        <v>0</v>
      </c>
      <c r="I25" s="3">
        <v>0</v>
      </c>
      <c r="J25" s="3">
        <v>0</v>
      </c>
      <c r="K25" s="3">
        <v>0</v>
      </c>
      <c r="L25" s="3">
        <v>0</v>
      </c>
      <c r="M25" s="3">
        <v>0</v>
      </c>
      <c r="N25" s="6">
        <f aca="true" t="shared" si="2" ref="N25:O30">B25+D25</f>
        <v>7</v>
      </c>
      <c r="O25" s="6">
        <f t="shared" si="2"/>
        <v>23</v>
      </c>
    </row>
    <row r="26" spans="1:15" ht="12.75">
      <c r="A26" t="s">
        <v>619</v>
      </c>
      <c r="B26" s="3">
        <v>0</v>
      </c>
      <c r="C26" s="3">
        <v>6</v>
      </c>
      <c r="D26" s="3">
        <v>0</v>
      </c>
      <c r="E26" s="3">
        <v>1</v>
      </c>
      <c r="F26" s="3">
        <v>0</v>
      </c>
      <c r="G26" s="3">
        <v>0</v>
      </c>
      <c r="H26" s="3">
        <v>0</v>
      </c>
      <c r="I26" s="3">
        <v>0</v>
      </c>
      <c r="J26" s="3">
        <v>0</v>
      </c>
      <c r="K26" s="3">
        <v>1</v>
      </c>
      <c r="L26" s="3">
        <v>0</v>
      </c>
      <c r="M26" s="3">
        <v>0</v>
      </c>
      <c r="N26" s="6">
        <f t="shared" si="2"/>
        <v>0</v>
      </c>
      <c r="O26" s="6">
        <f t="shared" si="2"/>
        <v>7</v>
      </c>
    </row>
    <row r="27" spans="1:15" ht="12.75">
      <c r="A27" t="s">
        <v>620</v>
      </c>
      <c r="B27" s="3">
        <v>0</v>
      </c>
      <c r="C27" s="3">
        <v>1</v>
      </c>
      <c r="D27" s="3">
        <v>0</v>
      </c>
      <c r="E27" s="3">
        <v>0</v>
      </c>
      <c r="F27" s="3">
        <v>0</v>
      </c>
      <c r="G27" s="3">
        <v>0</v>
      </c>
      <c r="H27" s="3">
        <v>0</v>
      </c>
      <c r="I27" s="3">
        <v>0</v>
      </c>
      <c r="J27" s="3">
        <v>0</v>
      </c>
      <c r="K27" s="3">
        <v>0</v>
      </c>
      <c r="L27" s="3">
        <v>0</v>
      </c>
      <c r="M27" s="3">
        <v>0</v>
      </c>
      <c r="N27" s="6">
        <f t="shared" si="2"/>
        <v>0</v>
      </c>
      <c r="O27" s="6">
        <f t="shared" si="2"/>
        <v>1</v>
      </c>
    </row>
    <row r="28" spans="1:15" ht="12.75">
      <c r="A28" t="s">
        <v>621</v>
      </c>
      <c r="B28" s="3">
        <v>0</v>
      </c>
      <c r="C28" s="3">
        <v>3</v>
      </c>
      <c r="D28" s="3">
        <v>1</v>
      </c>
      <c r="E28" s="3">
        <v>0</v>
      </c>
      <c r="F28" s="3">
        <v>0</v>
      </c>
      <c r="G28" s="3">
        <v>0</v>
      </c>
      <c r="H28" s="3">
        <v>0</v>
      </c>
      <c r="I28" s="3">
        <v>0</v>
      </c>
      <c r="J28" s="3">
        <v>0</v>
      </c>
      <c r="K28" s="3">
        <v>0</v>
      </c>
      <c r="L28" s="3">
        <v>0</v>
      </c>
      <c r="M28" s="3">
        <v>0</v>
      </c>
      <c r="N28" s="6">
        <f t="shared" si="2"/>
        <v>1</v>
      </c>
      <c r="O28" s="6">
        <f t="shared" si="2"/>
        <v>3</v>
      </c>
    </row>
    <row r="29" spans="1:15" ht="12.75">
      <c r="A29" t="s">
        <v>622</v>
      </c>
      <c r="B29" s="3">
        <v>0</v>
      </c>
      <c r="C29" s="3">
        <v>4</v>
      </c>
      <c r="D29" s="3">
        <v>0</v>
      </c>
      <c r="E29" s="3">
        <v>0</v>
      </c>
      <c r="F29" s="3">
        <v>0</v>
      </c>
      <c r="G29" s="3">
        <v>0</v>
      </c>
      <c r="H29" s="3">
        <v>0</v>
      </c>
      <c r="I29" s="3">
        <v>0</v>
      </c>
      <c r="J29" s="3">
        <v>0</v>
      </c>
      <c r="K29" s="3">
        <v>0</v>
      </c>
      <c r="L29" s="3">
        <v>0</v>
      </c>
      <c r="M29" s="3">
        <v>0</v>
      </c>
      <c r="N29" s="6">
        <f t="shared" si="2"/>
        <v>0</v>
      </c>
      <c r="O29" s="6">
        <f t="shared" si="2"/>
        <v>4</v>
      </c>
    </row>
    <row r="30" spans="1:15" ht="12.75">
      <c r="A30" t="s">
        <v>623</v>
      </c>
      <c r="B30" s="3">
        <v>2</v>
      </c>
      <c r="C30" s="3">
        <v>3</v>
      </c>
      <c r="D30" s="3">
        <v>0</v>
      </c>
      <c r="E30" s="3">
        <v>0</v>
      </c>
      <c r="F30" s="3">
        <v>0</v>
      </c>
      <c r="G30" s="3">
        <v>0</v>
      </c>
      <c r="H30" s="3">
        <v>0</v>
      </c>
      <c r="I30" s="3">
        <v>0</v>
      </c>
      <c r="J30" s="3">
        <v>0</v>
      </c>
      <c r="K30" s="3">
        <v>0</v>
      </c>
      <c r="L30" s="3">
        <v>0</v>
      </c>
      <c r="M30" s="3">
        <v>0</v>
      </c>
      <c r="N30" s="6">
        <f t="shared" si="2"/>
        <v>2</v>
      </c>
      <c r="O30" s="6">
        <f t="shared" si="2"/>
        <v>3</v>
      </c>
    </row>
    <row r="31" spans="1:15" ht="12.75">
      <c r="A31" s="2" t="s">
        <v>203</v>
      </c>
      <c r="B31" s="6">
        <f aca="true" t="shared" si="3" ref="B31:O31">SUM(B8:B30)</f>
        <v>71</v>
      </c>
      <c r="C31" s="6">
        <f t="shared" si="3"/>
        <v>257</v>
      </c>
      <c r="D31" s="6">
        <f t="shared" si="3"/>
        <v>3</v>
      </c>
      <c r="E31" s="6">
        <f t="shared" si="3"/>
        <v>4</v>
      </c>
      <c r="F31" s="6">
        <f t="shared" si="3"/>
        <v>7</v>
      </c>
      <c r="G31" s="6">
        <f t="shared" si="3"/>
        <v>11</v>
      </c>
      <c r="H31" s="6">
        <f t="shared" si="3"/>
        <v>0</v>
      </c>
      <c r="I31" s="6">
        <f t="shared" si="3"/>
        <v>0</v>
      </c>
      <c r="J31" s="6">
        <f t="shared" si="3"/>
        <v>0</v>
      </c>
      <c r="K31" s="6">
        <f t="shared" si="3"/>
        <v>1</v>
      </c>
      <c r="L31" s="6">
        <f t="shared" si="3"/>
        <v>1</v>
      </c>
      <c r="M31" s="6">
        <f t="shared" si="3"/>
        <v>3</v>
      </c>
      <c r="N31" s="6">
        <f t="shared" si="3"/>
        <v>74</v>
      </c>
      <c r="O31" s="6">
        <f t="shared" si="3"/>
        <v>261</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624</v>
      </c>
    </row>
    <row r="3" ht="12.75">
      <c r="A3" t="s">
        <v>625</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R34"/>
  <sheetViews>
    <sheetView zoomScalePageLayoutView="0" workbookViewId="0" topLeftCell="A1">
      <selection activeCell="A1" sqref="A1"/>
    </sheetView>
  </sheetViews>
  <sheetFormatPr defaultColWidth="9.140625" defaultRowHeight="12.75"/>
  <sheetData>
    <row r="1" ht="18">
      <c r="A1" s="1" t="s">
        <v>626</v>
      </c>
    </row>
    <row r="5" spans="1:18" ht="12.75">
      <c r="A5" s="2" t="s">
        <v>522</v>
      </c>
      <c r="B5" s="2" t="s">
        <v>627</v>
      </c>
      <c r="D5" s="2" t="s">
        <v>628</v>
      </c>
      <c r="F5" s="2" t="s">
        <v>629</v>
      </c>
      <c r="H5" s="2" t="s">
        <v>630</v>
      </c>
      <c r="J5" s="2" t="s">
        <v>631</v>
      </c>
      <c r="L5" s="2" t="s">
        <v>632</v>
      </c>
      <c r="N5" s="2" t="s">
        <v>633</v>
      </c>
      <c r="P5" s="2" t="s">
        <v>634</v>
      </c>
      <c r="R5" s="2" t="s">
        <v>527</v>
      </c>
    </row>
    <row r="6" spans="2:17" ht="12.75">
      <c r="B6" t="s">
        <v>528</v>
      </c>
      <c r="C6" t="s">
        <v>529</v>
      </c>
      <c r="D6" t="s">
        <v>528</v>
      </c>
      <c r="E6" t="s">
        <v>529</v>
      </c>
      <c r="F6" t="s">
        <v>528</v>
      </c>
      <c r="G6" t="s">
        <v>529</v>
      </c>
      <c r="H6" t="s">
        <v>528</v>
      </c>
      <c r="I6" t="s">
        <v>529</v>
      </c>
      <c r="J6" t="s">
        <v>528</v>
      </c>
      <c r="K6" t="s">
        <v>529</v>
      </c>
      <c r="L6" t="s">
        <v>528</v>
      </c>
      <c r="M6" t="s">
        <v>529</v>
      </c>
      <c r="N6" t="s">
        <v>528</v>
      </c>
      <c r="O6" t="s">
        <v>529</v>
      </c>
      <c r="P6" t="s">
        <v>528</v>
      </c>
      <c r="Q6" t="s">
        <v>529</v>
      </c>
    </row>
    <row r="7" spans="1:18" ht="12.75">
      <c r="A7" t="s">
        <v>555</v>
      </c>
      <c r="B7" s="3">
        <v>0</v>
      </c>
      <c r="C7" s="3">
        <v>0</v>
      </c>
      <c r="D7" s="3">
        <v>0</v>
      </c>
      <c r="E7" s="3">
        <v>0</v>
      </c>
      <c r="F7" s="3">
        <v>2</v>
      </c>
      <c r="G7" s="3">
        <v>4</v>
      </c>
      <c r="H7" s="3">
        <v>5</v>
      </c>
      <c r="I7" s="3">
        <v>8</v>
      </c>
      <c r="J7" s="3">
        <v>3</v>
      </c>
      <c r="K7" s="3">
        <v>5</v>
      </c>
      <c r="L7" s="3">
        <v>1</v>
      </c>
      <c r="M7" s="3">
        <v>6</v>
      </c>
      <c r="N7" s="3">
        <v>0</v>
      </c>
      <c r="O7" s="3">
        <v>4</v>
      </c>
      <c r="P7" s="3">
        <f aca="true" t="shared" si="0" ref="P7:P33">B7+D7+F7+H7+J7+L7+N7</f>
        <v>11</v>
      </c>
      <c r="Q7" s="3">
        <f aca="true" t="shared" si="1" ref="Q7:Q33">C7+E7+G7+I7+K7+M7+O7</f>
        <v>27</v>
      </c>
      <c r="R7" s="6">
        <f aca="true" t="shared" si="2" ref="R7:R33">P7+Q7</f>
        <v>38</v>
      </c>
    </row>
    <row r="8" spans="1:18" ht="12.75">
      <c r="A8" t="s">
        <v>556</v>
      </c>
      <c r="B8" s="3">
        <v>53</v>
      </c>
      <c r="C8" s="3">
        <v>167</v>
      </c>
      <c r="D8" s="3">
        <v>37</v>
      </c>
      <c r="E8" s="3">
        <v>106</v>
      </c>
      <c r="F8" s="3">
        <v>45</v>
      </c>
      <c r="G8" s="3">
        <v>130</v>
      </c>
      <c r="H8" s="3">
        <v>15</v>
      </c>
      <c r="I8" s="3">
        <v>60</v>
      </c>
      <c r="J8" s="3">
        <v>74</v>
      </c>
      <c r="K8" s="3">
        <v>250</v>
      </c>
      <c r="L8" s="3">
        <v>57</v>
      </c>
      <c r="M8" s="3">
        <v>196</v>
      </c>
      <c r="N8" s="3">
        <v>9</v>
      </c>
      <c r="O8" s="3">
        <v>26</v>
      </c>
      <c r="P8" s="3">
        <f t="shared" si="0"/>
        <v>290</v>
      </c>
      <c r="Q8" s="3">
        <f t="shared" si="1"/>
        <v>935</v>
      </c>
      <c r="R8" s="6">
        <f t="shared" si="2"/>
        <v>1225</v>
      </c>
    </row>
    <row r="9" spans="1:18" ht="12.75">
      <c r="A9" t="s">
        <v>557</v>
      </c>
      <c r="B9" s="3">
        <v>0</v>
      </c>
      <c r="C9" s="3">
        <v>0</v>
      </c>
      <c r="D9" s="3">
        <v>0</v>
      </c>
      <c r="E9" s="3">
        <v>0</v>
      </c>
      <c r="F9" s="3">
        <v>0</v>
      </c>
      <c r="G9" s="3">
        <v>0</v>
      </c>
      <c r="H9" s="3">
        <v>0</v>
      </c>
      <c r="I9" s="3">
        <v>2</v>
      </c>
      <c r="J9" s="3">
        <v>0</v>
      </c>
      <c r="K9" s="3">
        <v>0</v>
      </c>
      <c r="L9" s="3">
        <v>0</v>
      </c>
      <c r="M9" s="3">
        <v>0</v>
      </c>
      <c r="N9" s="3">
        <v>0</v>
      </c>
      <c r="O9" s="3">
        <v>0</v>
      </c>
      <c r="P9" s="3">
        <f t="shared" si="0"/>
        <v>0</v>
      </c>
      <c r="Q9" s="3">
        <f t="shared" si="1"/>
        <v>2</v>
      </c>
      <c r="R9" s="6">
        <f t="shared" si="2"/>
        <v>2</v>
      </c>
    </row>
    <row r="10" spans="1:18" ht="12.75">
      <c r="A10" t="s">
        <v>558</v>
      </c>
      <c r="B10" s="3">
        <v>0</v>
      </c>
      <c r="C10" s="3">
        <v>0</v>
      </c>
      <c r="D10" s="3">
        <v>0</v>
      </c>
      <c r="E10" s="3">
        <v>0</v>
      </c>
      <c r="F10" s="3">
        <v>1</v>
      </c>
      <c r="G10" s="3">
        <v>0</v>
      </c>
      <c r="H10" s="3">
        <v>1</v>
      </c>
      <c r="I10" s="3">
        <v>0</v>
      </c>
      <c r="J10" s="3">
        <v>3</v>
      </c>
      <c r="K10" s="3">
        <v>0</v>
      </c>
      <c r="L10" s="3">
        <v>0</v>
      </c>
      <c r="M10" s="3">
        <v>1</v>
      </c>
      <c r="N10" s="3">
        <v>1</v>
      </c>
      <c r="O10" s="3">
        <v>0</v>
      </c>
      <c r="P10" s="3">
        <f t="shared" si="0"/>
        <v>6</v>
      </c>
      <c r="Q10" s="3">
        <f t="shared" si="1"/>
        <v>1</v>
      </c>
      <c r="R10" s="6">
        <f t="shared" si="2"/>
        <v>7</v>
      </c>
    </row>
    <row r="11" spans="1:18" ht="12.75">
      <c r="A11" t="s">
        <v>559</v>
      </c>
      <c r="B11" s="3">
        <v>4</v>
      </c>
      <c r="C11" s="3">
        <v>11</v>
      </c>
      <c r="D11" s="3">
        <v>3</v>
      </c>
      <c r="E11" s="3">
        <v>12</v>
      </c>
      <c r="F11" s="3">
        <v>13</v>
      </c>
      <c r="G11" s="3">
        <v>25</v>
      </c>
      <c r="H11" s="3">
        <v>7</v>
      </c>
      <c r="I11" s="3">
        <v>7</v>
      </c>
      <c r="J11" s="3">
        <v>13</v>
      </c>
      <c r="K11" s="3">
        <v>25</v>
      </c>
      <c r="L11" s="3">
        <v>11</v>
      </c>
      <c r="M11" s="3">
        <v>9</v>
      </c>
      <c r="N11" s="3">
        <v>3</v>
      </c>
      <c r="O11" s="3">
        <v>1</v>
      </c>
      <c r="P11" s="3">
        <f t="shared" si="0"/>
        <v>54</v>
      </c>
      <c r="Q11" s="3">
        <f t="shared" si="1"/>
        <v>90</v>
      </c>
      <c r="R11" s="6">
        <f t="shared" si="2"/>
        <v>144</v>
      </c>
    </row>
    <row r="12" spans="1:18" ht="12.75">
      <c r="A12" t="s">
        <v>560</v>
      </c>
      <c r="B12" s="3">
        <v>0</v>
      </c>
      <c r="C12" s="3">
        <v>0</v>
      </c>
      <c r="D12" s="3">
        <v>0</v>
      </c>
      <c r="E12" s="3">
        <v>0</v>
      </c>
      <c r="F12" s="3">
        <v>1</v>
      </c>
      <c r="G12" s="3">
        <v>0</v>
      </c>
      <c r="H12" s="3">
        <v>2</v>
      </c>
      <c r="I12" s="3">
        <v>0</v>
      </c>
      <c r="J12" s="3">
        <v>2</v>
      </c>
      <c r="K12" s="3">
        <v>0</v>
      </c>
      <c r="L12" s="3">
        <v>0</v>
      </c>
      <c r="M12" s="3">
        <v>0</v>
      </c>
      <c r="N12" s="3">
        <v>0</v>
      </c>
      <c r="O12" s="3">
        <v>0</v>
      </c>
      <c r="P12" s="3">
        <f t="shared" si="0"/>
        <v>5</v>
      </c>
      <c r="Q12" s="3">
        <f t="shared" si="1"/>
        <v>0</v>
      </c>
      <c r="R12" s="6">
        <f t="shared" si="2"/>
        <v>5</v>
      </c>
    </row>
    <row r="13" spans="1:18" ht="12.75">
      <c r="A13" t="s">
        <v>561</v>
      </c>
      <c r="B13" s="3">
        <v>6</v>
      </c>
      <c r="C13" s="3">
        <v>3</v>
      </c>
      <c r="D13" s="3">
        <v>3</v>
      </c>
      <c r="E13" s="3">
        <v>3</v>
      </c>
      <c r="F13" s="3">
        <v>1</v>
      </c>
      <c r="G13" s="3">
        <v>5</v>
      </c>
      <c r="H13" s="3">
        <v>2</v>
      </c>
      <c r="I13" s="3">
        <v>0</v>
      </c>
      <c r="J13" s="3">
        <v>5</v>
      </c>
      <c r="K13" s="3">
        <v>0</v>
      </c>
      <c r="L13" s="3">
        <v>2</v>
      </c>
      <c r="M13" s="3">
        <v>0</v>
      </c>
      <c r="N13" s="3">
        <v>3</v>
      </c>
      <c r="O13" s="3">
        <v>4</v>
      </c>
      <c r="P13" s="3">
        <f t="shared" si="0"/>
        <v>22</v>
      </c>
      <c r="Q13" s="3">
        <f t="shared" si="1"/>
        <v>15</v>
      </c>
      <c r="R13" s="6">
        <f t="shared" si="2"/>
        <v>37</v>
      </c>
    </row>
    <row r="14" spans="1:18" ht="12.75">
      <c r="A14" t="s">
        <v>562</v>
      </c>
      <c r="B14" s="3">
        <v>0</v>
      </c>
      <c r="C14" s="3">
        <v>0</v>
      </c>
      <c r="D14" s="3">
        <v>0</v>
      </c>
      <c r="E14" s="3">
        <v>0</v>
      </c>
      <c r="F14" s="3">
        <v>0</v>
      </c>
      <c r="G14" s="3">
        <v>0</v>
      </c>
      <c r="H14" s="3">
        <v>2</v>
      </c>
      <c r="I14" s="3">
        <v>0</v>
      </c>
      <c r="J14" s="3">
        <v>0</v>
      </c>
      <c r="K14" s="3">
        <v>0</v>
      </c>
      <c r="L14" s="3">
        <v>0</v>
      </c>
      <c r="M14" s="3">
        <v>0</v>
      </c>
      <c r="N14" s="3">
        <v>0</v>
      </c>
      <c r="O14" s="3">
        <v>0</v>
      </c>
      <c r="P14" s="3">
        <f t="shared" si="0"/>
        <v>2</v>
      </c>
      <c r="Q14" s="3">
        <f t="shared" si="1"/>
        <v>0</v>
      </c>
      <c r="R14" s="6">
        <f t="shared" si="2"/>
        <v>2</v>
      </c>
    </row>
    <row r="15" spans="1:18" ht="12.75">
      <c r="A15" t="s">
        <v>563</v>
      </c>
      <c r="B15" s="3">
        <v>0</v>
      </c>
      <c r="C15" s="3">
        <v>6</v>
      </c>
      <c r="D15" s="3">
        <v>2</v>
      </c>
      <c r="E15" s="3">
        <v>8</v>
      </c>
      <c r="F15" s="3">
        <v>3</v>
      </c>
      <c r="G15" s="3">
        <v>11</v>
      </c>
      <c r="H15" s="3">
        <v>0</v>
      </c>
      <c r="I15" s="3">
        <v>6</v>
      </c>
      <c r="J15" s="3">
        <v>8</v>
      </c>
      <c r="K15" s="3">
        <v>33</v>
      </c>
      <c r="L15" s="3">
        <v>0</v>
      </c>
      <c r="M15" s="3">
        <v>6</v>
      </c>
      <c r="N15" s="3">
        <v>0</v>
      </c>
      <c r="O15" s="3">
        <v>1</v>
      </c>
      <c r="P15" s="3">
        <f t="shared" si="0"/>
        <v>13</v>
      </c>
      <c r="Q15" s="3">
        <f t="shared" si="1"/>
        <v>71</v>
      </c>
      <c r="R15" s="6">
        <f t="shared" si="2"/>
        <v>84</v>
      </c>
    </row>
    <row r="16" spans="1:18" ht="12.75">
      <c r="A16" t="s">
        <v>570</v>
      </c>
      <c r="B16" s="3">
        <v>0</v>
      </c>
      <c r="C16" s="3">
        <v>0</v>
      </c>
      <c r="D16" s="3">
        <v>0</v>
      </c>
      <c r="E16" s="3">
        <v>0</v>
      </c>
      <c r="F16" s="3">
        <v>0</v>
      </c>
      <c r="G16" s="3">
        <v>0</v>
      </c>
      <c r="H16" s="3">
        <v>0</v>
      </c>
      <c r="I16" s="3">
        <v>1</v>
      </c>
      <c r="J16" s="3">
        <v>0</v>
      </c>
      <c r="K16" s="3">
        <v>0</v>
      </c>
      <c r="L16" s="3">
        <v>0</v>
      </c>
      <c r="M16" s="3">
        <v>3</v>
      </c>
      <c r="N16" s="3">
        <v>0</v>
      </c>
      <c r="O16" s="3">
        <v>0</v>
      </c>
      <c r="P16" s="3">
        <f t="shared" si="0"/>
        <v>0</v>
      </c>
      <c r="Q16" s="3">
        <f t="shared" si="1"/>
        <v>4</v>
      </c>
      <c r="R16" s="6">
        <f t="shared" si="2"/>
        <v>4</v>
      </c>
    </row>
    <row r="17" spans="1:18" ht="12.75">
      <c r="A17" t="s">
        <v>571</v>
      </c>
      <c r="B17" s="3">
        <v>0</v>
      </c>
      <c r="C17" s="3">
        <v>1</v>
      </c>
      <c r="D17" s="3">
        <v>0</v>
      </c>
      <c r="E17" s="3">
        <v>3</v>
      </c>
      <c r="F17" s="3">
        <v>0</v>
      </c>
      <c r="G17" s="3">
        <v>3</v>
      </c>
      <c r="H17" s="3">
        <v>0</v>
      </c>
      <c r="I17" s="3">
        <v>0</v>
      </c>
      <c r="J17" s="3">
        <v>0</v>
      </c>
      <c r="K17" s="3">
        <v>4</v>
      </c>
      <c r="L17" s="3">
        <v>2</v>
      </c>
      <c r="M17" s="3">
        <v>7</v>
      </c>
      <c r="N17" s="3">
        <v>0</v>
      </c>
      <c r="O17" s="3">
        <v>1</v>
      </c>
      <c r="P17" s="3">
        <f t="shared" si="0"/>
        <v>2</v>
      </c>
      <c r="Q17" s="3">
        <f t="shared" si="1"/>
        <v>19</v>
      </c>
      <c r="R17" s="6">
        <f t="shared" si="2"/>
        <v>21</v>
      </c>
    </row>
    <row r="18" spans="1:18" ht="12.75">
      <c r="A18" t="s">
        <v>572</v>
      </c>
      <c r="B18" s="3">
        <v>0</v>
      </c>
      <c r="C18" s="3">
        <v>0</v>
      </c>
      <c r="D18" s="3">
        <v>0</v>
      </c>
      <c r="E18" s="3">
        <v>0</v>
      </c>
      <c r="F18" s="3">
        <v>0</v>
      </c>
      <c r="G18" s="3">
        <v>0</v>
      </c>
      <c r="H18" s="3">
        <v>2</v>
      </c>
      <c r="I18" s="3">
        <v>0</v>
      </c>
      <c r="J18" s="3">
        <v>0</v>
      </c>
      <c r="K18" s="3">
        <v>0</v>
      </c>
      <c r="L18" s="3">
        <v>0</v>
      </c>
      <c r="M18" s="3">
        <v>0</v>
      </c>
      <c r="N18" s="3">
        <v>1</v>
      </c>
      <c r="O18" s="3">
        <v>0</v>
      </c>
      <c r="P18" s="3">
        <f t="shared" si="0"/>
        <v>3</v>
      </c>
      <c r="Q18" s="3">
        <f t="shared" si="1"/>
        <v>0</v>
      </c>
      <c r="R18" s="6">
        <f t="shared" si="2"/>
        <v>3</v>
      </c>
    </row>
    <row r="19" spans="1:18" ht="12.75">
      <c r="A19" t="s">
        <v>573</v>
      </c>
      <c r="B19" s="3">
        <v>5</v>
      </c>
      <c r="C19" s="3">
        <v>2</v>
      </c>
      <c r="D19" s="3">
        <v>0</v>
      </c>
      <c r="E19" s="3">
        <v>0</v>
      </c>
      <c r="F19" s="3">
        <v>1</v>
      </c>
      <c r="G19" s="3">
        <v>0</v>
      </c>
      <c r="H19" s="3">
        <v>1</v>
      </c>
      <c r="I19" s="3">
        <v>0</v>
      </c>
      <c r="J19" s="3">
        <v>0</v>
      </c>
      <c r="K19" s="3">
        <v>1</v>
      </c>
      <c r="L19" s="3">
        <v>1</v>
      </c>
      <c r="M19" s="3">
        <v>0</v>
      </c>
      <c r="N19" s="3">
        <v>0</v>
      </c>
      <c r="O19" s="3">
        <v>0</v>
      </c>
      <c r="P19" s="3">
        <f t="shared" si="0"/>
        <v>8</v>
      </c>
      <c r="Q19" s="3">
        <f t="shared" si="1"/>
        <v>3</v>
      </c>
      <c r="R19" s="6">
        <f t="shared" si="2"/>
        <v>11</v>
      </c>
    </row>
    <row r="20" spans="1:18" ht="12.75">
      <c r="A20" t="s">
        <v>574</v>
      </c>
      <c r="B20" s="3">
        <v>9</v>
      </c>
      <c r="C20" s="3">
        <v>5</v>
      </c>
      <c r="D20" s="3">
        <v>0</v>
      </c>
      <c r="E20" s="3">
        <v>0</v>
      </c>
      <c r="F20" s="3">
        <v>1</v>
      </c>
      <c r="G20" s="3">
        <v>0</v>
      </c>
      <c r="H20" s="3">
        <v>1</v>
      </c>
      <c r="I20" s="3">
        <v>0</v>
      </c>
      <c r="J20" s="3">
        <v>1</v>
      </c>
      <c r="K20" s="3">
        <v>0</v>
      </c>
      <c r="L20" s="3">
        <v>0</v>
      </c>
      <c r="M20" s="3">
        <v>0</v>
      </c>
      <c r="N20" s="3">
        <v>0</v>
      </c>
      <c r="O20" s="3">
        <v>0</v>
      </c>
      <c r="P20" s="3">
        <f t="shared" si="0"/>
        <v>12</v>
      </c>
      <c r="Q20" s="3">
        <f t="shared" si="1"/>
        <v>5</v>
      </c>
      <c r="R20" s="6">
        <f t="shared" si="2"/>
        <v>17</v>
      </c>
    </row>
    <row r="21" spans="1:18" ht="12.75">
      <c r="A21" t="s">
        <v>575</v>
      </c>
      <c r="B21" s="3">
        <v>0</v>
      </c>
      <c r="C21" s="3">
        <v>0</v>
      </c>
      <c r="D21" s="3">
        <v>0</v>
      </c>
      <c r="E21" s="3">
        <v>0</v>
      </c>
      <c r="F21" s="3">
        <v>2</v>
      </c>
      <c r="G21" s="3">
        <v>1</v>
      </c>
      <c r="H21" s="3">
        <v>0</v>
      </c>
      <c r="I21" s="3">
        <v>0</v>
      </c>
      <c r="J21" s="3">
        <v>0</v>
      </c>
      <c r="K21" s="3">
        <v>0</v>
      </c>
      <c r="L21" s="3">
        <v>1</v>
      </c>
      <c r="M21" s="3">
        <v>1</v>
      </c>
      <c r="N21" s="3">
        <v>0</v>
      </c>
      <c r="O21" s="3">
        <v>0</v>
      </c>
      <c r="P21" s="3">
        <f t="shared" si="0"/>
        <v>3</v>
      </c>
      <c r="Q21" s="3">
        <f t="shared" si="1"/>
        <v>2</v>
      </c>
      <c r="R21" s="6">
        <f t="shared" si="2"/>
        <v>5</v>
      </c>
    </row>
    <row r="22" spans="1:18" ht="12.75">
      <c r="A22" t="s">
        <v>576</v>
      </c>
      <c r="B22" s="3">
        <v>0</v>
      </c>
      <c r="C22" s="3">
        <v>0</v>
      </c>
      <c r="D22" s="3">
        <v>0</v>
      </c>
      <c r="E22" s="3">
        <v>0</v>
      </c>
      <c r="F22" s="3">
        <v>0</v>
      </c>
      <c r="G22" s="3">
        <v>0</v>
      </c>
      <c r="H22" s="3">
        <v>3</v>
      </c>
      <c r="I22" s="3">
        <v>0</v>
      </c>
      <c r="J22" s="3">
        <v>1</v>
      </c>
      <c r="K22" s="3">
        <v>0</v>
      </c>
      <c r="L22" s="3">
        <v>0</v>
      </c>
      <c r="M22" s="3">
        <v>0</v>
      </c>
      <c r="N22" s="3">
        <v>0</v>
      </c>
      <c r="O22" s="3">
        <v>0</v>
      </c>
      <c r="P22" s="3">
        <f t="shared" si="0"/>
        <v>4</v>
      </c>
      <c r="Q22" s="3">
        <f t="shared" si="1"/>
        <v>0</v>
      </c>
      <c r="R22" s="6">
        <f t="shared" si="2"/>
        <v>4</v>
      </c>
    </row>
    <row r="23" spans="1:18" ht="12.75">
      <c r="A23" t="s">
        <v>577</v>
      </c>
      <c r="B23" s="3">
        <v>4</v>
      </c>
      <c r="C23" s="3">
        <v>1</v>
      </c>
      <c r="D23" s="3">
        <v>0</v>
      </c>
      <c r="E23" s="3">
        <v>0</v>
      </c>
      <c r="F23" s="3">
        <v>0</v>
      </c>
      <c r="G23" s="3">
        <v>1</v>
      </c>
      <c r="H23" s="3">
        <v>1</v>
      </c>
      <c r="I23" s="3">
        <v>0</v>
      </c>
      <c r="J23" s="3">
        <v>0</v>
      </c>
      <c r="K23" s="3">
        <v>0</v>
      </c>
      <c r="L23" s="3">
        <v>0</v>
      </c>
      <c r="M23" s="3">
        <v>0</v>
      </c>
      <c r="N23" s="3">
        <v>0</v>
      </c>
      <c r="O23" s="3">
        <v>0</v>
      </c>
      <c r="P23" s="3">
        <f t="shared" si="0"/>
        <v>5</v>
      </c>
      <c r="Q23" s="3">
        <f t="shared" si="1"/>
        <v>2</v>
      </c>
      <c r="R23" s="6">
        <f t="shared" si="2"/>
        <v>7</v>
      </c>
    </row>
    <row r="24" spans="1:18" ht="12.75">
      <c r="A24" t="s">
        <v>578</v>
      </c>
      <c r="B24" s="3">
        <v>7</v>
      </c>
      <c r="C24" s="3">
        <v>45</v>
      </c>
      <c r="D24" s="3">
        <v>5</v>
      </c>
      <c r="E24" s="3">
        <v>6</v>
      </c>
      <c r="F24" s="3">
        <v>5</v>
      </c>
      <c r="G24" s="3">
        <v>24</v>
      </c>
      <c r="H24" s="3">
        <v>7</v>
      </c>
      <c r="I24" s="3">
        <v>5</v>
      </c>
      <c r="J24" s="3">
        <v>2</v>
      </c>
      <c r="K24" s="3">
        <v>0</v>
      </c>
      <c r="L24" s="3">
        <v>4</v>
      </c>
      <c r="M24" s="3">
        <v>1</v>
      </c>
      <c r="N24" s="3">
        <v>0</v>
      </c>
      <c r="O24" s="3">
        <v>0</v>
      </c>
      <c r="P24" s="3">
        <f t="shared" si="0"/>
        <v>30</v>
      </c>
      <c r="Q24" s="3">
        <f t="shared" si="1"/>
        <v>81</v>
      </c>
      <c r="R24" s="6">
        <f t="shared" si="2"/>
        <v>111</v>
      </c>
    </row>
    <row r="25" spans="1:18" ht="12.75">
      <c r="A25" t="s">
        <v>579</v>
      </c>
      <c r="B25" s="3">
        <v>3</v>
      </c>
      <c r="C25" s="3">
        <v>6</v>
      </c>
      <c r="D25" s="3">
        <v>9</v>
      </c>
      <c r="E25" s="3">
        <v>3</v>
      </c>
      <c r="F25" s="3">
        <v>10</v>
      </c>
      <c r="G25" s="3">
        <v>13</v>
      </c>
      <c r="H25" s="3">
        <v>2</v>
      </c>
      <c r="I25" s="3">
        <v>5</v>
      </c>
      <c r="J25" s="3">
        <v>1</v>
      </c>
      <c r="K25" s="3">
        <v>0</v>
      </c>
      <c r="L25" s="3">
        <v>10</v>
      </c>
      <c r="M25" s="3">
        <v>2</v>
      </c>
      <c r="N25" s="3">
        <v>0</v>
      </c>
      <c r="O25" s="3">
        <v>0</v>
      </c>
      <c r="P25" s="3">
        <f t="shared" si="0"/>
        <v>35</v>
      </c>
      <c r="Q25" s="3">
        <f t="shared" si="1"/>
        <v>29</v>
      </c>
      <c r="R25" s="6">
        <f t="shared" si="2"/>
        <v>64</v>
      </c>
    </row>
    <row r="26" spans="1:18" ht="12.75">
      <c r="A26" t="s">
        <v>580</v>
      </c>
      <c r="B26" s="3">
        <v>0</v>
      </c>
      <c r="C26" s="3">
        <v>0</v>
      </c>
      <c r="D26" s="3">
        <v>0</v>
      </c>
      <c r="E26" s="3">
        <v>0</v>
      </c>
      <c r="F26" s="3">
        <v>0</v>
      </c>
      <c r="G26" s="3">
        <v>0</v>
      </c>
      <c r="H26" s="3">
        <v>0</v>
      </c>
      <c r="I26" s="3">
        <v>0</v>
      </c>
      <c r="J26" s="3">
        <v>0</v>
      </c>
      <c r="K26" s="3">
        <v>0</v>
      </c>
      <c r="L26" s="3">
        <v>1</v>
      </c>
      <c r="M26" s="3">
        <v>0</v>
      </c>
      <c r="N26" s="3">
        <v>0</v>
      </c>
      <c r="O26" s="3">
        <v>0</v>
      </c>
      <c r="P26" s="3">
        <f t="shared" si="0"/>
        <v>1</v>
      </c>
      <c r="Q26" s="3">
        <f t="shared" si="1"/>
        <v>0</v>
      </c>
      <c r="R26" s="6">
        <f t="shared" si="2"/>
        <v>1</v>
      </c>
    </row>
    <row r="27" spans="1:18" ht="12.75">
      <c r="A27" t="s">
        <v>581</v>
      </c>
      <c r="B27" s="3">
        <v>3</v>
      </c>
      <c r="C27" s="3">
        <v>2</v>
      </c>
      <c r="D27" s="3">
        <v>8</v>
      </c>
      <c r="E27" s="3">
        <v>3</v>
      </c>
      <c r="F27" s="3">
        <v>10</v>
      </c>
      <c r="G27" s="3">
        <v>41</v>
      </c>
      <c r="H27" s="3">
        <v>2</v>
      </c>
      <c r="I27" s="3">
        <v>13</v>
      </c>
      <c r="J27" s="3">
        <v>0</v>
      </c>
      <c r="K27" s="3">
        <v>0</v>
      </c>
      <c r="L27" s="3">
        <v>0</v>
      </c>
      <c r="M27" s="3">
        <v>8</v>
      </c>
      <c r="N27" s="3">
        <v>0</v>
      </c>
      <c r="O27" s="3">
        <v>0</v>
      </c>
      <c r="P27" s="3">
        <f t="shared" si="0"/>
        <v>23</v>
      </c>
      <c r="Q27" s="3">
        <f t="shared" si="1"/>
        <v>67</v>
      </c>
      <c r="R27" s="6">
        <f t="shared" si="2"/>
        <v>90</v>
      </c>
    </row>
    <row r="28" spans="1:18" ht="12.75">
      <c r="A28" t="s">
        <v>584</v>
      </c>
      <c r="B28" s="3">
        <v>0</v>
      </c>
      <c r="C28" s="3">
        <v>0</v>
      </c>
      <c r="D28" s="3">
        <v>0</v>
      </c>
      <c r="E28" s="3">
        <v>0</v>
      </c>
      <c r="F28" s="3">
        <v>0</v>
      </c>
      <c r="G28" s="3">
        <v>1</v>
      </c>
      <c r="H28" s="3">
        <v>1</v>
      </c>
      <c r="I28" s="3">
        <v>0</v>
      </c>
      <c r="J28" s="3">
        <v>0</v>
      </c>
      <c r="K28" s="3">
        <v>0</v>
      </c>
      <c r="L28" s="3">
        <v>0</v>
      </c>
      <c r="M28" s="3">
        <v>0</v>
      </c>
      <c r="N28" s="3">
        <v>0</v>
      </c>
      <c r="O28" s="3">
        <v>0</v>
      </c>
      <c r="P28" s="3">
        <f t="shared" si="0"/>
        <v>1</v>
      </c>
      <c r="Q28" s="3">
        <f t="shared" si="1"/>
        <v>1</v>
      </c>
      <c r="R28" s="6">
        <f t="shared" si="2"/>
        <v>2</v>
      </c>
    </row>
    <row r="29" spans="1:18" ht="12.75">
      <c r="A29" t="s">
        <v>585</v>
      </c>
      <c r="B29" s="3">
        <v>6</v>
      </c>
      <c r="C29" s="3">
        <v>19</v>
      </c>
      <c r="D29" s="3">
        <v>0</v>
      </c>
      <c r="E29" s="3">
        <v>0</v>
      </c>
      <c r="F29" s="3">
        <v>9</v>
      </c>
      <c r="G29" s="3">
        <v>16</v>
      </c>
      <c r="H29" s="3">
        <v>6</v>
      </c>
      <c r="I29" s="3">
        <v>3</v>
      </c>
      <c r="J29" s="3">
        <v>1</v>
      </c>
      <c r="K29" s="3">
        <v>3</v>
      </c>
      <c r="L29" s="3">
        <v>1</v>
      </c>
      <c r="M29" s="3">
        <v>1</v>
      </c>
      <c r="N29" s="3">
        <v>2</v>
      </c>
      <c r="O29" s="3">
        <v>0</v>
      </c>
      <c r="P29" s="3">
        <f t="shared" si="0"/>
        <v>25</v>
      </c>
      <c r="Q29" s="3">
        <f t="shared" si="1"/>
        <v>42</v>
      </c>
      <c r="R29" s="6">
        <f t="shared" si="2"/>
        <v>67</v>
      </c>
    </row>
    <row r="30" spans="1:18" ht="12.75">
      <c r="A30" t="s">
        <v>586</v>
      </c>
      <c r="B30" s="3">
        <v>9</v>
      </c>
      <c r="C30" s="3">
        <v>6</v>
      </c>
      <c r="D30" s="3">
        <v>3</v>
      </c>
      <c r="E30" s="3">
        <v>2</v>
      </c>
      <c r="F30" s="3">
        <v>16</v>
      </c>
      <c r="G30" s="3">
        <v>39</v>
      </c>
      <c r="H30" s="3">
        <v>6</v>
      </c>
      <c r="I30" s="3">
        <v>11</v>
      </c>
      <c r="J30" s="3">
        <v>6</v>
      </c>
      <c r="K30" s="3">
        <v>8</v>
      </c>
      <c r="L30" s="3">
        <v>12</v>
      </c>
      <c r="M30" s="3">
        <v>8</v>
      </c>
      <c r="N30" s="3">
        <v>0</v>
      </c>
      <c r="O30" s="3">
        <v>0</v>
      </c>
      <c r="P30" s="3">
        <f t="shared" si="0"/>
        <v>52</v>
      </c>
      <c r="Q30" s="3">
        <f t="shared" si="1"/>
        <v>74</v>
      </c>
      <c r="R30" s="6">
        <f t="shared" si="2"/>
        <v>126</v>
      </c>
    </row>
    <row r="31" spans="1:18" ht="12.75">
      <c r="A31" t="s">
        <v>587</v>
      </c>
      <c r="B31" s="3">
        <v>0</v>
      </c>
      <c r="C31" s="3">
        <v>0</v>
      </c>
      <c r="D31" s="3">
        <v>0</v>
      </c>
      <c r="E31" s="3">
        <v>0</v>
      </c>
      <c r="F31" s="3">
        <v>0</v>
      </c>
      <c r="G31" s="3">
        <v>0</v>
      </c>
      <c r="H31" s="3">
        <v>0</v>
      </c>
      <c r="I31" s="3">
        <v>0</v>
      </c>
      <c r="J31" s="3">
        <v>0</v>
      </c>
      <c r="K31" s="3">
        <v>1</v>
      </c>
      <c r="L31" s="3">
        <v>0</v>
      </c>
      <c r="M31" s="3">
        <v>1</v>
      </c>
      <c r="N31" s="3">
        <v>0</v>
      </c>
      <c r="O31" s="3">
        <v>0</v>
      </c>
      <c r="P31" s="3">
        <f t="shared" si="0"/>
        <v>0</v>
      </c>
      <c r="Q31" s="3">
        <f t="shared" si="1"/>
        <v>2</v>
      </c>
      <c r="R31" s="6">
        <f t="shared" si="2"/>
        <v>2</v>
      </c>
    </row>
    <row r="32" spans="1:18" ht="12.75">
      <c r="A32" t="s">
        <v>588</v>
      </c>
      <c r="B32" s="3">
        <v>0</v>
      </c>
      <c r="C32" s="3">
        <v>2</v>
      </c>
      <c r="D32" s="3">
        <v>0</v>
      </c>
      <c r="E32" s="3">
        <v>0</v>
      </c>
      <c r="F32" s="3">
        <v>3</v>
      </c>
      <c r="G32" s="3">
        <v>5</v>
      </c>
      <c r="H32" s="3">
        <v>5</v>
      </c>
      <c r="I32" s="3">
        <v>1</v>
      </c>
      <c r="J32" s="3">
        <v>0</v>
      </c>
      <c r="K32" s="3">
        <v>3</v>
      </c>
      <c r="L32" s="3">
        <v>4</v>
      </c>
      <c r="M32" s="3">
        <v>5</v>
      </c>
      <c r="N32" s="3">
        <v>0</v>
      </c>
      <c r="O32" s="3">
        <v>0</v>
      </c>
      <c r="P32" s="3">
        <f t="shared" si="0"/>
        <v>12</v>
      </c>
      <c r="Q32" s="3">
        <f t="shared" si="1"/>
        <v>16</v>
      </c>
      <c r="R32" s="6">
        <f t="shared" si="2"/>
        <v>28</v>
      </c>
    </row>
    <row r="33" spans="1:18" ht="12.75">
      <c r="A33" t="s">
        <v>589</v>
      </c>
      <c r="B33" s="3">
        <v>0</v>
      </c>
      <c r="C33" s="3">
        <v>0</v>
      </c>
      <c r="D33" s="3">
        <v>0</v>
      </c>
      <c r="E33" s="3">
        <v>0</v>
      </c>
      <c r="F33" s="3">
        <v>1</v>
      </c>
      <c r="G33" s="3">
        <v>2</v>
      </c>
      <c r="H33" s="3">
        <v>0</v>
      </c>
      <c r="I33" s="3">
        <v>2</v>
      </c>
      <c r="J33" s="3">
        <v>0</v>
      </c>
      <c r="K33" s="3">
        <v>0</v>
      </c>
      <c r="L33" s="3">
        <v>0</v>
      </c>
      <c r="M33" s="3">
        <v>0</v>
      </c>
      <c r="N33" s="3">
        <v>0</v>
      </c>
      <c r="O33" s="3">
        <v>0</v>
      </c>
      <c r="P33" s="3">
        <f t="shared" si="0"/>
        <v>1</v>
      </c>
      <c r="Q33" s="3">
        <f t="shared" si="1"/>
        <v>4</v>
      </c>
      <c r="R33" s="6">
        <f t="shared" si="2"/>
        <v>5</v>
      </c>
    </row>
    <row r="34" spans="1:18" ht="12.75">
      <c r="A34" s="2" t="s">
        <v>527</v>
      </c>
      <c r="B34" s="6">
        <f aca="true" t="shared" si="3" ref="B34:R34">SUM(B7:B33)</f>
        <v>109</v>
      </c>
      <c r="C34" s="6">
        <f t="shared" si="3"/>
        <v>276</v>
      </c>
      <c r="D34" s="6">
        <f t="shared" si="3"/>
        <v>70</v>
      </c>
      <c r="E34" s="6">
        <f t="shared" si="3"/>
        <v>146</v>
      </c>
      <c r="F34" s="6">
        <f t="shared" si="3"/>
        <v>124</v>
      </c>
      <c r="G34" s="6">
        <f t="shared" si="3"/>
        <v>321</v>
      </c>
      <c r="H34" s="6">
        <f t="shared" si="3"/>
        <v>71</v>
      </c>
      <c r="I34" s="6">
        <f t="shared" si="3"/>
        <v>124</v>
      </c>
      <c r="J34" s="6">
        <f t="shared" si="3"/>
        <v>120</v>
      </c>
      <c r="K34" s="6">
        <f t="shared" si="3"/>
        <v>333</v>
      </c>
      <c r="L34" s="6">
        <f t="shared" si="3"/>
        <v>107</v>
      </c>
      <c r="M34" s="6">
        <f t="shared" si="3"/>
        <v>255</v>
      </c>
      <c r="N34" s="6">
        <f t="shared" si="3"/>
        <v>19</v>
      </c>
      <c r="O34" s="6">
        <f t="shared" si="3"/>
        <v>37</v>
      </c>
      <c r="P34" s="6">
        <f t="shared" si="3"/>
        <v>620</v>
      </c>
      <c r="Q34" s="6">
        <f t="shared" si="3"/>
        <v>1492</v>
      </c>
      <c r="R34" s="6">
        <f t="shared" si="3"/>
        <v>2112</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
    </sheetView>
  </sheetViews>
  <sheetFormatPr defaultColWidth="9.140625" defaultRowHeight="12.75"/>
  <sheetData>
    <row r="1" ht="18">
      <c r="A1" s="1" t="s">
        <v>635</v>
      </c>
    </row>
    <row r="3" ht="12.75">
      <c r="A3" s="2" t="s">
        <v>636</v>
      </c>
    </row>
    <row r="5" spans="1:10" ht="12.75">
      <c r="A5" s="2" t="s">
        <v>637</v>
      </c>
      <c r="B5" s="2" t="s">
        <v>592</v>
      </c>
      <c r="D5" s="2" t="s">
        <v>638</v>
      </c>
      <c r="F5" s="2" t="s">
        <v>639</v>
      </c>
      <c r="H5" s="2" t="s">
        <v>640</v>
      </c>
      <c r="J5" s="2" t="s">
        <v>641</v>
      </c>
    </row>
    <row r="6" spans="2:11" ht="12.75">
      <c r="B6" t="s">
        <v>642</v>
      </c>
      <c r="C6" t="s">
        <v>643</v>
      </c>
      <c r="D6" t="s">
        <v>644</v>
      </c>
      <c r="E6" t="s">
        <v>645</v>
      </c>
      <c r="F6" t="s">
        <v>646</v>
      </c>
      <c r="G6" t="s">
        <v>647</v>
      </c>
      <c r="H6" t="s">
        <v>648</v>
      </c>
      <c r="I6" t="s">
        <v>649</v>
      </c>
      <c r="J6" t="s">
        <v>650</v>
      </c>
      <c r="K6" t="s">
        <v>651</v>
      </c>
    </row>
    <row r="7" spans="1:11" ht="12.75">
      <c r="A7" t="s">
        <v>652</v>
      </c>
      <c r="B7" s="3">
        <v>2</v>
      </c>
      <c r="C7" s="3">
        <v>2</v>
      </c>
      <c r="D7" s="3">
        <v>0</v>
      </c>
      <c r="E7" s="3">
        <v>0</v>
      </c>
      <c r="F7" s="3">
        <v>0</v>
      </c>
      <c r="G7" s="3">
        <v>0</v>
      </c>
      <c r="H7" s="3">
        <v>0</v>
      </c>
      <c r="I7" s="3">
        <v>0</v>
      </c>
      <c r="J7" s="3">
        <f aca="true" t="shared" si="0" ref="J7:J22">B7+D7+F7</f>
        <v>2</v>
      </c>
      <c r="K7" s="6">
        <f aca="true" t="shared" si="1" ref="K7:K22">C7+E7+G7</f>
        <v>2</v>
      </c>
    </row>
    <row r="8" spans="1:11" ht="12.75">
      <c r="A8" t="s">
        <v>653</v>
      </c>
      <c r="B8" s="3">
        <v>0</v>
      </c>
      <c r="C8" s="3">
        <v>1</v>
      </c>
      <c r="D8" s="3">
        <v>0</v>
      </c>
      <c r="E8" s="3">
        <v>0</v>
      </c>
      <c r="F8" s="3">
        <v>0</v>
      </c>
      <c r="G8" s="3">
        <v>0</v>
      </c>
      <c r="H8" s="3">
        <v>0</v>
      </c>
      <c r="I8" s="3">
        <v>0</v>
      </c>
      <c r="J8" s="3">
        <f t="shared" si="0"/>
        <v>0</v>
      </c>
      <c r="K8" s="6">
        <f t="shared" si="1"/>
        <v>1</v>
      </c>
    </row>
    <row r="9" spans="1:11" ht="12.75">
      <c r="A9" t="s">
        <v>654</v>
      </c>
      <c r="B9" s="3">
        <v>0</v>
      </c>
      <c r="C9" s="3">
        <v>3</v>
      </c>
      <c r="D9" s="3">
        <v>0</v>
      </c>
      <c r="E9" s="3">
        <v>0</v>
      </c>
      <c r="F9" s="3">
        <v>0</v>
      </c>
      <c r="G9" s="3">
        <v>0</v>
      </c>
      <c r="H9" s="3">
        <v>0</v>
      </c>
      <c r="I9" s="3">
        <v>0</v>
      </c>
      <c r="J9" s="3">
        <f t="shared" si="0"/>
        <v>0</v>
      </c>
      <c r="K9" s="6">
        <f t="shared" si="1"/>
        <v>3</v>
      </c>
    </row>
    <row r="10" spans="1:11" ht="12.75">
      <c r="A10" t="s">
        <v>655</v>
      </c>
      <c r="B10" s="3">
        <v>0</v>
      </c>
      <c r="C10" s="3">
        <v>1</v>
      </c>
      <c r="D10" s="3">
        <v>0</v>
      </c>
      <c r="E10" s="3">
        <v>0</v>
      </c>
      <c r="F10" s="3">
        <v>0</v>
      </c>
      <c r="G10" s="3">
        <v>0</v>
      </c>
      <c r="H10" s="3">
        <v>0</v>
      </c>
      <c r="I10" s="3">
        <v>0</v>
      </c>
      <c r="J10" s="3">
        <f t="shared" si="0"/>
        <v>0</v>
      </c>
      <c r="K10" s="6">
        <f t="shared" si="1"/>
        <v>1</v>
      </c>
    </row>
    <row r="11" spans="1:11" ht="12.75">
      <c r="A11" t="s">
        <v>656</v>
      </c>
      <c r="B11" s="3">
        <v>0</v>
      </c>
      <c r="C11" s="3">
        <v>1</v>
      </c>
      <c r="D11" s="3">
        <v>0</v>
      </c>
      <c r="E11" s="3">
        <v>0</v>
      </c>
      <c r="F11" s="3">
        <v>0</v>
      </c>
      <c r="G11" s="3">
        <v>0</v>
      </c>
      <c r="H11" s="3">
        <v>0</v>
      </c>
      <c r="I11" s="3">
        <v>0</v>
      </c>
      <c r="J11" s="3">
        <f t="shared" si="0"/>
        <v>0</v>
      </c>
      <c r="K11" s="6">
        <f t="shared" si="1"/>
        <v>1</v>
      </c>
    </row>
    <row r="12" spans="1:11" ht="12.75">
      <c r="A12" t="s">
        <v>657</v>
      </c>
      <c r="B12" s="3">
        <v>4</v>
      </c>
      <c r="C12" s="3">
        <v>6</v>
      </c>
      <c r="D12" s="3">
        <v>0</v>
      </c>
      <c r="E12" s="3">
        <v>0</v>
      </c>
      <c r="F12" s="3">
        <v>0</v>
      </c>
      <c r="G12" s="3">
        <v>0</v>
      </c>
      <c r="H12" s="3">
        <v>0</v>
      </c>
      <c r="I12" s="3">
        <v>0</v>
      </c>
      <c r="J12" s="3">
        <f t="shared" si="0"/>
        <v>4</v>
      </c>
      <c r="K12" s="6">
        <f t="shared" si="1"/>
        <v>6</v>
      </c>
    </row>
    <row r="13" spans="1:11" ht="12.75">
      <c r="A13" t="s">
        <v>658</v>
      </c>
      <c r="B13" s="3">
        <v>6</v>
      </c>
      <c r="C13" s="3">
        <v>6</v>
      </c>
      <c r="D13" s="3">
        <v>0</v>
      </c>
      <c r="E13" s="3">
        <v>0</v>
      </c>
      <c r="F13" s="3">
        <v>0</v>
      </c>
      <c r="G13" s="3">
        <v>0</v>
      </c>
      <c r="H13" s="3">
        <v>0</v>
      </c>
      <c r="I13" s="3">
        <v>0</v>
      </c>
      <c r="J13" s="3">
        <f t="shared" si="0"/>
        <v>6</v>
      </c>
      <c r="K13" s="6">
        <f t="shared" si="1"/>
        <v>6</v>
      </c>
    </row>
    <row r="14" spans="1:11" ht="12.75">
      <c r="A14" t="s">
        <v>659</v>
      </c>
      <c r="B14" s="3">
        <v>4</v>
      </c>
      <c r="C14" s="3">
        <v>3</v>
      </c>
      <c r="D14" s="3">
        <v>0</v>
      </c>
      <c r="E14" s="3">
        <v>0</v>
      </c>
      <c r="F14" s="3">
        <v>0</v>
      </c>
      <c r="G14" s="3">
        <v>0</v>
      </c>
      <c r="H14" s="3">
        <v>0</v>
      </c>
      <c r="I14" s="3">
        <v>0</v>
      </c>
      <c r="J14" s="3">
        <f t="shared" si="0"/>
        <v>4</v>
      </c>
      <c r="K14" s="6">
        <f t="shared" si="1"/>
        <v>3</v>
      </c>
    </row>
    <row r="15" spans="1:11" ht="12.75">
      <c r="A15" t="s">
        <v>660</v>
      </c>
      <c r="B15" s="3">
        <v>0</v>
      </c>
      <c r="C15" s="3">
        <v>1</v>
      </c>
      <c r="D15" s="3">
        <v>0</v>
      </c>
      <c r="E15" s="3">
        <v>0</v>
      </c>
      <c r="F15" s="3">
        <v>0</v>
      </c>
      <c r="G15" s="3">
        <v>0</v>
      </c>
      <c r="H15" s="3">
        <v>0</v>
      </c>
      <c r="I15" s="3">
        <v>0</v>
      </c>
      <c r="J15" s="3">
        <f t="shared" si="0"/>
        <v>0</v>
      </c>
      <c r="K15" s="6">
        <f t="shared" si="1"/>
        <v>1</v>
      </c>
    </row>
    <row r="16" spans="1:11" ht="12.75">
      <c r="A16" t="s">
        <v>661</v>
      </c>
      <c r="B16" s="3">
        <v>2</v>
      </c>
      <c r="C16" s="3">
        <v>3</v>
      </c>
      <c r="D16" s="3">
        <v>0</v>
      </c>
      <c r="E16" s="3">
        <v>0</v>
      </c>
      <c r="F16" s="3">
        <v>0</v>
      </c>
      <c r="G16" s="3">
        <v>0</v>
      </c>
      <c r="H16" s="3">
        <v>0</v>
      </c>
      <c r="I16" s="3">
        <v>0</v>
      </c>
      <c r="J16" s="3">
        <f t="shared" si="0"/>
        <v>2</v>
      </c>
      <c r="K16" s="6">
        <f t="shared" si="1"/>
        <v>3</v>
      </c>
    </row>
    <row r="17" spans="1:11" ht="12.75">
      <c r="A17" t="s">
        <v>662</v>
      </c>
      <c r="B17" s="3">
        <v>1</v>
      </c>
      <c r="C17" s="3">
        <v>0</v>
      </c>
      <c r="D17" s="3">
        <v>0</v>
      </c>
      <c r="E17" s="3">
        <v>0</v>
      </c>
      <c r="F17" s="3">
        <v>0</v>
      </c>
      <c r="G17" s="3">
        <v>0</v>
      </c>
      <c r="H17" s="3">
        <v>0</v>
      </c>
      <c r="I17" s="3">
        <v>0</v>
      </c>
      <c r="J17" s="3">
        <f t="shared" si="0"/>
        <v>1</v>
      </c>
      <c r="K17" s="6">
        <f t="shared" si="1"/>
        <v>0</v>
      </c>
    </row>
    <row r="18" spans="1:11" ht="12.75">
      <c r="A18" t="s">
        <v>663</v>
      </c>
      <c r="B18" s="3">
        <v>0</v>
      </c>
      <c r="C18" s="3">
        <v>1</v>
      </c>
      <c r="D18" s="3">
        <v>0</v>
      </c>
      <c r="E18" s="3">
        <v>0</v>
      </c>
      <c r="F18" s="3">
        <v>0</v>
      </c>
      <c r="G18" s="3">
        <v>0</v>
      </c>
      <c r="H18" s="3">
        <v>0</v>
      </c>
      <c r="I18" s="3">
        <v>0</v>
      </c>
      <c r="J18" s="3">
        <f t="shared" si="0"/>
        <v>0</v>
      </c>
      <c r="K18" s="6">
        <f t="shared" si="1"/>
        <v>1</v>
      </c>
    </row>
    <row r="19" spans="1:11" ht="12.75">
      <c r="A19" t="s">
        <v>664</v>
      </c>
      <c r="B19" s="3">
        <v>8</v>
      </c>
      <c r="C19" s="3">
        <v>9</v>
      </c>
      <c r="D19" s="3">
        <v>0</v>
      </c>
      <c r="E19" s="3">
        <v>0</v>
      </c>
      <c r="F19" s="3">
        <v>0</v>
      </c>
      <c r="G19" s="3">
        <v>0</v>
      </c>
      <c r="H19" s="3">
        <v>0</v>
      </c>
      <c r="I19" s="3">
        <v>0</v>
      </c>
      <c r="J19" s="3">
        <f t="shared" si="0"/>
        <v>8</v>
      </c>
      <c r="K19" s="6">
        <f t="shared" si="1"/>
        <v>9</v>
      </c>
    </row>
    <row r="20" spans="1:11" ht="12.75">
      <c r="A20" t="s">
        <v>665</v>
      </c>
      <c r="B20" s="3">
        <v>0</v>
      </c>
      <c r="C20" s="3">
        <v>1</v>
      </c>
      <c r="D20" s="3">
        <v>0</v>
      </c>
      <c r="E20" s="3">
        <v>0</v>
      </c>
      <c r="F20" s="3">
        <v>0</v>
      </c>
      <c r="G20" s="3">
        <v>0</v>
      </c>
      <c r="H20" s="3">
        <v>0</v>
      </c>
      <c r="I20" s="3">
        <v>0</v>
      </c>
      <c r="J20" s="3">
        <f t="shared" si="0"/>
        <v>0</v>
      </c>
      <c r="K20" s="6">
        <f t="shared" si="1"/>
        <v>1</v>
      </c>
    </row>
    <row r="21" spans="1:11" ht="12.75">
      <c r="A21" t="s">
        <v>666</v>
      </c>
      <c r="B21" s="3">
        <v>1</v>
      </c>
      <c r="C21" s="3">
        <v>0</v>
      </c>
      <c r="D21" s="3">
        <v>0</v>
      </c>
      <c r="E21" s="3">
        <v>0</v>
      </c>
      <c r="F21" s="3">
        <v>0</v>
      </c>
      <c r="G21" s="3">
        <v>0</v>
      </c>
      <c r="H21" s="3">
        <v>0</v>
      </c>
      <c r="I21" s="3">
        <v>0</v>
      </c>
      <c r="J21" s="3">
        <f t="shared" si="0"/>
        <v>1</v>
      </c>
      <c r="K21" s="6">
        <f t="shared" si="1"/>
        <v>0</v>
      </c>
    </row>
    <row r="22" spans="1:11" ht="12.75">
      <c r="A22" t="s">
        <v>667</v>
      </c>
      <c r="B22" s="3">
        <v>4</v>
      </c>
      <c r="C22" s="3">
        <v>5</v>
      </c>
      <c r="D22" s="3">
        <v>0</v>
      </c>
      <c r="E22" s="3">
        <v>0</v>
      </c>
      <c r="F22" s="3">
        <v>0</v>
      </c>
      <c r="G22" s="3">
        <v>0</v>
      </c>
      <c r="H22" s="3">
        <v>0</v>
      </c>
      <c r="I22" s="3">
        <v>0</v>
      </c>
      <c r="J22" s="3">
        <f t="shared" si="0"/>
        <v>4</v>
      </c>
      <c r="K22" s="6">
        <f t="shared" si="1"/>
        <v>5</v>
      </c>
    </row>
    <row r="23" spans="1:11" ht="12.75">
      <c r="A23" s="2" t="s">
        <v>203</v>
      </c>
      <c r="B23" s="6">
        <f aca="true" t="shared" si="2" ref="B23:K23">SUM(B7:B22)</f>
        <v>32</v>
      </c>
      <c r="C23" s="6">
        <f t="shared" si="2"/>
        <v>43</v>
      </c>
      <c r="D23" s="6">
        <f t="shared" si="2"/>
        <v>0</v>
      </c>
      <c r="E23" s="6">
        <f t="shared" si="2"/>
        <v>0</v>
      </c>
      <c r="F23" s="6">
        <f t="shared" si="2"/>
        <v>0</v>
      </c>
      <c r="G23" s="6">
        <f t="shared" si="2"/>
        <v>0</v>
      </c>
      <c r="H23" s="6">
        <f t="shared" si="2"/>
        <v>0</v>
      </c>
      <c r="I23" s="6">
        <f t="shared" si="2"/>
        <v>0</v>
      </c>
      <c r="J23" s="6">
        <f t="shared" si="2"/>
        <v>32</v>
      </c>
      <c r="K23" s="6">
        <f t="shared" si="2"/>
        <v>43</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I49"/>
  <sheetViews>
    <sheetView zoomScalePageLayoutView="0" workbookViewId="0" topLeftCell="A1">
      <selection activeCell="A1" sqref="A1"/>
    </sheetView>
  </sheetViews>
  <sheetFormatPr defaultColWidth="9.140625" defaultRowHeight="12.75"/>
  <sheetData>
    <row r="1" ht="18">
      <c r="A1" s="1" t="s">
        <v>668</v>
      </c>
    </row>
    <row r="5" spans="1:9" ht="12.75">
      <c r="A5" s="2" t="s">
        <v>669</v>
      </c>
      <c r="B5" s="2" t="s">
        <v>670</v>
      </c>
      <c r="C5" s="2" t="s">
        <v>671</v>
      </c>
      <c r="D5" s="2" t="s">
        <v>672</v>
      </c>
      <c r="E5" s="2" t="s">
        <v>673</v>
      </c>
      <c r="F5" s="2" t="s">
        <v>674</v>
      </c>
      <c r="G5" s="2" t="s">
        <v>675</v>
      </c>
      <c r="H5" s="2" t="s">
        <v>676</v>
      </c>
      <c r="I5" s="2" t="s">
        <v>114</v>
      </c>
    </row>
    <row r="6" spans="1:9" ht="12.75">
      <c r="A6" t="s">
        <v>677</v>
      </c>
      <c r="B6" t="s">
        <v>678</v>
      </c>
      <c r="C6" t="s">
        <v>679</v>
      </c>
      <c r="D6" s="3">
        <v>8</v>
      </c>
      <c r="E6" s="3">
        <v>0</v>
      </c>
      <c r="F6" s="3">
        <v>0</v>
      </c>
      <c r="G6" s="3">
        <v>0</v>
      </c>
      <c r="H6" s="3">
        <v>0</v>
      </c>
      <c r="I6" s="3">
        <v>8</v>
      </c>
    </row>
    <row r="7" spans="3:9" ht="12.75">
      <c r="C7" t="s">
        <v>680</v>
      </c>
      <c r="D7" s="3">
        <v>8</v>
      </c>
      <c r="E7" s="3">
        <v>0</v>
      </c>
      <c r="F7" s="3">
        <v>0</v>
      </c>
      <c r="G7" s="3">
        <v>0</v>
      </c>
      <c r="H7" s="3">
        <v>0</v>
      </c>
      <c r="I7" s="3">
        <v>8</v>
      </c>
    </row>
    <row r="8" spans="2:9" ht="12.75">
      <c r="B8" t="s">
        <v>681</v>
      </c>
      <c r="C8" t="s">
        <v>679</v>
      </c>
      <c r="D8" s="3">
        <v>42</v>
      </c>
      <c r="E8" s="3">
        <v>0</v>
      </c>
      <c r="F8" s="3">
        <v>0</v>
      </c>
      <c r="G8" s="3">
        <v>0</v>
      </c>
      <c r="H8" s="3">
        <v>0</v>
      </c>
      <c r="I8" s="3">
        <v>42</v>
      </c>
    </row>
    <row r="9" spans="3:9" ht="12.75">
      <c r="C9" t="s">
        <v>682</v>
      </c>
      <c r="D9" s="3">
        <v>10</v>
      </c>
      <c r="E9" s="3">
        <v>1</v>
      </c>
      <c r="F9" s="3">
        <v>1</v>
      </c>
      <c r="G9" s="3">
        <v>3</v>
      </c>
      <c r="H9" s="3">
        <v>24</v>
      </c>
      <c r="I9" s="3">
        <v>39</v>
      </c>
    </row>
    <row r="10" spans="2:9" ht="12.75">
      <c r="B10" t="s">
        <v>683</v>
      </c>
      <c r="C10" t="s">
        <v>679</v>
      </c>
      <c r="D10" s="3">
        <v>30</v>
      </c>
      <c r="E10" s="3">
        <v>0</v>
      </c>
      <c r="F10" s="3">
        <v>0</v>
      </c>
      <c r="G10" s="3">
        <v>0</v>
      </c>
      <c r="H10" s="3">
        <v>0</v>
      </c>
      <c r="I10" s="3">
        <v>30</v>
      </c>
    </row>
    <row r="11" spans="3:9" ht="12.75">
      <c r="C11" t="s">
        <v>682</v>
      </c>
      <c r="D11" s="3">
        <v>5</v>
      </c>
      <c r="E11" s="3">
        <v>1</v>
      </c>
      <c r="F11" s="3">
        <v>5</v>
      </c>
      <c r="G11" s="3">
        <v>3</v>
      </c>
      <c r="H11" s="3">
        <v>11</v>
      </c>
      <c r="I11" s="3">
        <v>25</v>
      </c>
    </row>
    <row r="12" spans="2:9" ht="12.75">
      <c r="B12" t="s">
        <v>684</v>
      </c>
      <c r="C12" t="s">
        <v>679</v>
      </c>
      <c r="D12" s="3">
        <v>31</v>
      </c>
      <c r="E12" s="3">
        <v>0</v>
      </c>
      <c r="F12" s="3">
        <v>0</v>
      </c>
      <c r="G12" s="3">
        <v>0</v>
      </c>
      <c r="H12" s="3">
        <v>0</v>
      </c>
      <c r="I12" s="3">
        <v>31</v>
      </c>
    </row>
    <row r="13" spans="3:9" ht="12.75">
      <c r="C13" t="s">
        <v>682</v>
      </c>
      <c r="D13" s="3">
        <v>7</v>
      </c>
      <c r="E13" s="3">
        <v>3</v>
      </c>
      <c r="F13" s="3">
        <v>1</v>
      </c>
      <c r="G13" s="3">
        <v>0</v>
      </c>
      <c r="H13" s="3">
        <v>13</v>
      </c>
      <c r="I13" s="3">
        <v>24</v>
      </c>
    </row>
    <row r="14" spans="2:9" ht="12.75">
      <c r="B14" t="s">
        <v>685</v>
      </c>
      <c r="C14" t="s">
        <v>680</v>
      </c>
      <c r="D14" s="3">
        <v>31</v>
      </c>
      <c r="E14" s="3">
        <v>2</v>
      </c>
      <c r="F14" s="3">
        <v>6</v>
      </c>
      <c r="G14" s="3">
        <v>6</v>
      </c>
      <c r="H14" s="3">
        <v>50</v>
      </c>
      <c r="I14" s="3">
        <v>95</v>
      </c>
    </row>
    <row r="15" spans="2:9" ht="12.75">
      <c r="B15" t="s">
        <v>686</v>
      </c>
      <c r="C15" t="s">
        <v>680</v>
      </c>
      <c r="D15" s="3">
        <v>20</v>
      </c>
      <c r="E15" s="3">
        <v>5</v>
      </c>
      <c r="F15" s="3">
        <v>14</v>
      </c>
      <c r="G15" s="3">
        <v>11</v>
      </c>
      <c r="H15" s="3">
        <v>59</v>
      </c>
      <c r="I15" s="3">
        <v>109</v>
      </c>
    </row>
    <row r="16" spans="2:9" ht="12.75">
      <c r="B16" t="s">
        <v>687</v>
      </c>
      <c r="C16" t="s">
        <v>680</v>
      </c>
      <c r="D16" s="3">
        <v>47</v>
      </c>
      <c r="E16" s="3">
        <v>4</v>
      </c>
      <c r="F16" s="3">
        <v>19</v>
      </c>
      <c r="G16" s="3">
        <v>13</v>
      </c>
      <c r="H16" s="3">
        <v>165</v>
      </c>
      <c r="I16" s="3">
        <v>248</v>
      </c>
    </row>
    <row r="17" spans="1:9" ht="12.75">
      <c r="A17" t="s">
        <v>688</v>
      </c>
      <c r="B17" t="s">
        <v>681</v>
      </c>
      <c r="C17" t="s">
        <v>679</v>
      </c>
      <c r="D17" s="3">
        <v>4</v>
      </c>
      <c r="E17" s="3">
        <v>0</v>
      </c>
      <c r="F17" s="3">
        <v>0</v>
      </c>
      <c r="G17" s="3">
        <v>0</v>
      </c>
      <c r="H17" s="3">
        <v>0</v>
      </c>
      <c r="I17" s="3">
        <v>4</v>
      </c>
    </row>
    <row r="18" spans="3:9" ht="12.75">
      <c r="C18" t="s">
        <v>682</v>
      </c>
      <c r="D18" s="3">
        <v>1</v>
      </c>
      <c r="E18" s="3">
        <v>0</v>
      </c>
      <c r="F18" s="3">
        <v>0</v>
      </c>
      <c r="G18" s="3">
        <v>0</v>
      </c>
      <c r="H18" s="3">
        <v>0</v>
      </c>
      <c r="I18" s="3">
        <v>1</v>
      </c>
    </row>
    <row r="19" spans="2:9" ht="12.75">
      <c r="B19" t="s">
        <v>683</v>
      </c>
      <c r="C19" t="s">
        <v>679</v>
      </c>
      <c r="D19" s="3">
        <v>3</v>
      </c>
      <c r="E19" s="3">
        <v>0</v>
      </c>
      <c r="F19" s="3">
        <v>0</v>
      </c>
      <c r="G19" s="3">
        <v>0</v>
      </c>
      <c r="H19" s="3">
        <v>0</v>
      </c>
      <c r="I19" s="3">
        <v>3</v>
      </c>
    </row>
    <row r="20" spans="3:9" ht="12.75">
      <c r="C20" t="s">
        <v>682</v>
      </c>
      <c r="D20" s="3">
        <v>1</v>
      </c>
      <c r="E20" s="3">
        <v>0</v>
      </c>
      <c r="F20" s="3">
        <v>0</v>
      </c>
      <c r="G20" s="3">
        <v>0</v>
      </c>
      <c r="H20" s="3">
        <v>1</v>
      </c>
      <c r="I20" s="3">
        <v>2</v>
      </c>
    </row>
    <row r="21" spans="2:9" ht="12.75">
      <c r="B21" t="s">
        <v>684</v>
      </c>
      <c r="C21" t="s">
        <v>679</v>
      </c>
      <c r="D21" s="3">
        <v>5</v>
      </c>
      <c r="E21" s="3">
        <v>0</v>
      </c>
      <c r="F21" s="3">
        <v>0</v>
      </c>
      <c r="G21" s="3">
        <v>0</v>
      </c>
      <c r="H21" s="3">
        <v>0</v>
      </c>
      <c r="I21" s="3">
        <v>5</v>
      </c>
    </row>
    <row r="22" spans="3:9" ht="12.75">
      <c r="C22" t="s">
        <v>682</v>
      </c>
      <c r="D22" s="3">
        <v>1</v>
      </c>
      <c r="E22" s="3">
        <v>0</v>
      </c>
      <c r="F22" s="3">
        <v>1</v>
      </c>
      <c r="G22" s="3">
        <v>0</v>
      </c>
      <c r="H22" s="3">
        <v>2</v>
      </c>
      <c r="I22" s="3">
        <v>4</v>
      </c>
    </row>
    <row r="23" spans="2:9" ht="12.75">
      <c r="B23" t="s">
        <v>685</v>
      </c>
      <c r="C23" t="s">
        <v>680</v>
      </c>
      <c r="D23" s="3">
        <v>15</v>
      </c>
      <c r="E23" s="3">
        <v>0</v>
      </c>
      <c r="F23" s="3">
        <v>0</v>
      </c>
      <c r="G23" s="3">
        <v>0</v>
      </c>
      <c r="H23" s="3">
        <v>4</v>
      </c>
      <c r="I23" s="3">
        <v>19</v>
      </c>
    </row>
    <row r="24" spans="2:9" ht="12.75">
      <c r="B24" t="s">
        <v>686</v>
      </c>
      <c r="C24" t="s">
        <v>680</v>
      </c>
      <c r="D24" s="3">
        <v>11</v>
      </c>
      <c r="E24" s="3">
        <v>0</v>
      </c>
      <c r="F24" s="3">
        <v>1</v>
      </c>
      <c r="G24" s="3">
        <v>0</v>
      </c>
      <c r="H24" s="3">
        <v>11</v>
      </c>
      <c r="I24" s="3">
        <v>23</v>
      </c>
    </row>
    <row r="25" spans="2:9" ht="12.75">
      <c r="B25" t="s">
        <v>687</v>
      </c>
      <c r="C25" t="s">
        <v>680</v>
      </c>
      <c r="D25" s="3">
        <v>22</v>
      </c>
      <c r="E25" s="3">
        <v>1</v>
      </c>
      <c r="F25" s="3">
        <v>0</v>
      </c>
      <c r="G25" s="3">
        <v>3</v>
      </c>
      <c r="H25" s="3">
        <v>23</v>
      </c>
      <c r="I25" s="3">
        <v>49</v>
      </c>
    </row>
    <row r="26" spans="1:9" ht="12.75">
      <c r="A26" t="s">
        <v>689</v>
      </c>
      <c r="B26" t="s">
        <v>678</v>
      </c>
      <c r="C26" t="s">
        <v>690</v>
      </c>
      <c r="D26" s="3">
        <v>1</v>
      </c>
      <c r="E26" s="3">
        <v>0</v>
      </c>
      <c r="F26" s="3">
        <v>0</v>
      </c>
      <c r="G26" s="3">
        <v>0</v>
      </c>
      <c r="H26" s="3">
        <v>0</v>
      </c>
      <c r="I26" s="3">
        <v>1</v>
      </c>
    </row>
    <row r="27" spans="2:9" ht="12.75">
      <c r="B27" t="s">
        <v>681</v>
      </c>
      <c r="C27" t="s">
        <v>679</v>
      </c>
      <c r="D27" s="3">
        <v>1</v>
      </c>
      <c r="E27" s="3">
        <v>0</v>
      </c>
      <c r="F27" s="3">
        <v>0</v>
      </c>
      <c r="G27" s="3">
        <v>0</v>
      </c>
      <c r="H27" s="3">
        <v>0</v>
      </c>
      <c r="I27" s="3">
        <v>1</v>
      </c>
    </row>
    <row r="28" spans="3:9" ht="12.75">
      <c r="C28" t="s">
        <v>682</v>
      </c>
      <c r="D28" s="3">
        <v>1</v>
      </c>
      <c r="E28" s="3">
        <v>0</v>
      </c>
      <c r="F28" s="3">
        <v>0</v>
      </c>
      <c r="G28" s="3">
        <v>0</v>
      </c>
      <c r="H28" s="3">
        <v>0</v>
      </c>
      <c r="I28" s="3">
        <v>1</v>
      </c>
    </row>
    <row r="29" spans="2:9" ht="12.75">
      <c r="B29" t="s">
        <v>683</v>
      </c>
      <c r="C29" t="s">
        <v>679</v>
      </c>
      <c r="D29" s="3">
        <v>3</v>
      </c>
      <c r="E29" s="3">
        <v>0</v>
      </c>
      <c r="F29" s="3">
        <v>0</v>
      </c>
      <c r="G29" s="3">
        <v>0</v>
      </c>
      <c r="H29" s="3">
        <v>0</v>
      </c>
      <c r="I29" s="3">
        <v>3</v>
      </c>
    </row>
    <row r="30" spans="3:9" ht="12.75">
      <c r="C30" t="s">
        <v>682</v>
      </c>
      <c r="D30" s="3">
        <v>1</v>
      </c>
      <c r="E30" s="3">
        <v>0</v>
      </c>
      <c r="F30" s="3">
        <v>0</v>
      </c>
      <c r="G30" s="3">
        <v>0</v>
      </c>
      <c r="H30" s="3">
        <v>0</v>
      </c>
      <c r="I30" s="3">
        <v>1</v>
      </c>
    </row>
    <row r="31" spans="2:9" ht="12.75">
      <c r="B31" t="s">
        <v>684</v>
      </c>
      <c r="C31" t="s">
        <v>679</v>
      </c>
      <c r="D31" s="3">
        <v>3</v>
      </c>
      <c r="E31" s="3">
        <v>0</v>
      </c>
      <c r="F31" s="3">
        <v>0</v>
      </c>
      <c r="G31" s="3">
        <v>0</v>
      </c>
      <c r="H31" s="3">
        <v>0</v>
      </c>
      <c r="I31" s="3">
        <v>3</v>
      </c>
    </row>
    <row r="32" spans="2:9" ht="12.75">
      <c r="B32" t="s">
        <v>687</v>
      </c>
      <c r="C32" t="s">
        <v>680</v>
      </c>
      <c r="D32" s="3">
        <v>6</v>
      </c>
      <c r="E32" s="3">
        <v>0</v>
      </c>
      <c r="F32" s="3">
        <v>0</v>
      </c>
      <c r="G32" s="3">
        <v>0</v>
      </c>
      <c r="H32" s="3">
        <v>0</v>
      </c>
      <c r="I32" s="3">
        <v>6</v>
      </c>
    </row>
    <row r="33" spans="1:9" ht="12.75">
      <c r="A33" t="s">
        <v>691</v>
      </c>
      <c r="B33" t="s">
        <v>678</v>
      </c>
      <c r="C33" t="s">
        <v>690</v>
      </c>
      <c r="D33" s="3">
        <v>2</v>
      </c>
      <c r="E33" s="3">
        <v>0</v>
      </c>
      <c r="F33" s="3">
        <v>0</v>
      </c>
      <c r="G33" s="3">
        <v>0</v>
      </c>
      <c r="H33" s="3">
        <v>0</v>
      </c>
      <c r="I33" s="3">
        <v>2</v>
      </c>
    </row>
    <row r="34" spans="2:9" ht="12.75">
      <c r="B34" t="s">
        <v>692</v>
      </c>
      <c r="C34" t="s">
        <v>679</v>
      </c>
      <c r="D34" s="3">
        <v>6</v>
      </c>
      <c r="E34" s="3">
        <v>0</v>
      </c>
      <c r="F34" s="3">
        <v>0</v>
      </c>
      <c r="G34" s="3">
        <v>0</v>
      </c>
      <c r="H34" s="3">
        <v>0</v>
      </c>
      <c r="I34" s="3">
        <v>6</v>
      </c>
    </row>
    <row r="35" spans="3:9" ht="12.75">
      <c r="C35" t="s">
        <v>682</v>
      </c>
      <c r="D35" s="3">
        <v>5</v>
      </c>
      <c r="E35" s="3">
        <v>0</v>
      </c>
      <c r="F35" s="3">
        <v>0</v>
      </c>
      <c r="G35" s="3">
        <v>0</v>
      </c>
      <c r="H35" s="3">
        <v>0</v>
      </c>
      <c r="I35" s="3">
        <v>5</v>
      </c>
    </row>
    <row r="36" spans="2:9" ht="12.75">
      <c r="B36" t="s">
        <v>693</v>
      </c>
      <c r="C36" t="s">
        <v>679</v>
      </c>
      <c r="D36" s="3">
        <v>3</v>
      </c>
      <c r="E36" s="3">
        <v>0</v>
      </c>
      <c r="F36" s="3">
        <v>0</v>
      </c>
      <c r="G36" s="3">
        <v>0</v>
      </c>
      <c r="H36" s="3">
        <v>0</v>
      </c>
      <c r="I36" s="3">
        <v>3</v>
      </c>
    </row>
    <row r="37" spans="3:9" ht="12.75">
      <c r="C37" t="s">
        <v>682</v>
      </c>
      <c r="D37" s="3">
        <v>3</v>
      </c>
      <c r="E37" s="3">
        <v>0</v>
      </c>
      <c r="F37" s="3">
        <v>0</v>
      </c>
      <c r="G37" s="3">
        <v>0</v>
      </c>
      <c r="H37" s="3">
        <v>0</v>
      </c>
      <c r="I37" s="3">
        <v>3</v>
      </c>
    </row>
    <row r="38" spans="2:9" ht="12.75">
      <c r="B38" t="s">
        <v>694</v>
      </c>
      <c r="C38" t="s">
        <v>679</v>
      </c>
      <c r="D38" s="3">
        <v>11</v>
      </c>
      <c r="E38" s="3">
        <v>0</v>
      </c>
      <c r="F38" s="3">
        <v>0</v>
      </c>
      <c r="G38" s="3">
        <v>0</v>
      </c>
      <c r="H38" s="3">
        <v>0</v>
      </c>
      <c r="I38" s="3">
        <v>11</v>
      </c>
    </row>
    <row r="39" spans="3:9" ht="12.75">
      <c r="C39" t="s">
        <v>682</v>
      </c>
      <c r="D39" s="3">
        <v>11</v>
      </c>
      <c r="E39" s="3">
        <v>0</v>
      </c>
      <c r="F39" s="3">
        <v>0</v>
      </c>
      <c r="G39" s="3">
        <v>0</v>
      </c>
      <c r="H39" s="3">
        <v>0</v>
      </c>
      <c r="I39" s="3">
        <v>11</v>
      </c>
    </row>
    <row r="40" spans="1:9" ht="12.75">
      <c r="A40" t="s">
        <v>695</v>
      </c>
      <c r="B40" t="s">
        <v>696</v>
      </c>
      <c r="C40" t="s">
        <v>690</v>
      </c>
      <c r="D40" s="3">
        <v>134</v>
      </c>
      <c r="E40" s="3">
        <v>0</v>
      </c>
      <c r="F40" s="3">
        <v>0</v>
      </c>
      <c r="G40" s="3">
        <v>0</v>
      </c>
      <c r="H40" s="3">
        <v>0</v>
      </c>
      <c r="I40" s="3">
        <v>134</v>
      </c>
    </row>
    <row r="41" spans="3:9" ht="12.75">
      <c r="C41" t="s">
        <v>697</v>
      </c>
      <c r="D41" s="3">
        <v>63</v>
      </c>
      <c r="E41" s="3">
        <v>1</v>
      </c>
      <c r="F41" s="3">
        <v>7</v>
      </c>
      <c r="G41" s="3">
        <v>8</v>
      </c>
      <c r="H41" s="3">
        <v>52</v>
      </c>
      <c r="I41" s="3">
        <v>131</v>
      </c>
    </row>
    <row r="42" spans="3:9" ht="12.75">
      <c r="C42" t="s">
        <v>698</v>
      </c>
      <c r="D42" s="3">
        <v>17</v>
      </c>
      <c r="E42" s="3">
        <v>2</v>
      </c>
      <c r="F42" s="3">
        <v>1</v>
      </c>
      <c r="G42" s="3">
        <v>4</v>
      </c>
      <c r="H42" s="3">
        <v>0</v>
      </c>
      <c r="I42" s="3">
        <v>24</v>
      </c>
    </row>
    <row r="43" spans="3:9" ht="12.75">
      <c r="C43" t="s">
        <v>699</v>
      </c>
      <c r="D43" s="3">
        <v>5</v>
      </c>
      <c r="E43" s="3">
        <v>0</v>
      </c>
      <c r="F43" s="3">
        <v>0</v>
      </c>
      <c r="G43" s="3">
        <v>1</v>
      </c>
      <c r="H43" s="3">
        <v>0</v>
      </c>
      <c r="I43" s="3">
        <v>6</v>
      </c>
    </row>
    <row r="44" spans="2:9" ht="12.75">
      <c r="B44" t="s">
        <v>700</v>
      </c>
      <c r="C44" t="s">
        <v>690</v>
      </c>
      <c r="D44" s="3">
        <v>6</v>
      </c>
      <c r="E44" s="3">
        <v>0</v>
      </c>
      <c r="F44" s="3">
        <v>0</v>
      </c>
      <c r="G44" s="3">
        <v>0</v>
      </c>
      <c r="H44" s="3">
        <v>0</v>
      </c>
      <c r="I44" s="3">
        <v>6</v>
      </c>
    </row>
    <row r="45" spans="3:9" ht="12.75">
      <c r="C45" t="s">
        <v>697</v>
      </c>
      <c r="D45" s="3">
        <v>6</v>
      </c>
      <c r="E45" s="3">
        <v>0</v>
      </c>
      <c r="F45" s="3">
        <v>0</v>
      </c>
      <c r="G45" s="3">
        <v>0</v>
      </c>
      <c r="H45" s="3">
        <v>0</v>
      </c>
      <c r="I45" s="3">
        <v>6</v>
      </c>
    </row>
    <row r="46" spans="2:9" ht="12.75">
      <c r="B46" t="s">
        <v>701</v>
      </c>
      <c r="C46" t="s">
        <v>690</v>
      </c>
      <c r="D46" s="3">
        <v>3</v>
      </c>
      <c r="E46" s="3">
        <v>0</v>
      </c>
      <c r="F46" s="3">
        <v>0</v>
      </c>
      <c r="G46" s="3">
        <v>0</v>
      </c>
      <c r="H46" s="3">
        <v>0</v>
      </c>
      <c r="I46" s="3">
        <v>3</v>
      </c>
    </row>
    <row r="47" spans="3:9" ht="12.75">
      <c r="C47" t="s">
        <v>697</v>
      </c>
      <c r="D47" s="3">
        <v>3</v>
      </c>
      <c r="E47" s="3">
        <v>0</v>
      </c>
      <c r="F47" s="3">
        <v>0</v>
      </c>
      <c r="G47" s="3">
        <v>0</v>
      </c>
      <c r="H47" s="3">
        <v>0</v>
      </c>
      <c r="I47" s="3">
        <v>3</v>
      </c>
    </row>
    <row r="48" spans="2:9" ht="12.75">
      <c r="B48" t="s">
        <v>702</v>
      </c>
      <c r="C48" t="s">
        <v>690</v>
      </c>
      <c r="D48" s="3">
        <v>23</v>
      </c>
      <c r="E48" s="3">
        <v>0</v>
      </c>
      <c r="F48" s="3">
        <v>0</v>
      </c>
      <c r="G48" s="3">
        <v>0</v>
      </c>
      <c r="H48" s="3">
        <v>0</v>
      </c>
      <c r="I48" s="3">
        <v>23</v>
      </c>
    </row>
    <row r="49" spans="3:9" ht="12.75">
      <c r="C49" t="s">
        <v>697</v>
      </c>
      <c r="D49" s="3">
        <v>15</v>
      </c>
      <c r="E49" s="3">
        <v>0</v>
      </c>
      <c r="F49" s="3">
        <v>0</v>
      </c>
      <c r="G49" s="3">
        <v>0</v>
      </c>
      <c r="H49" s="3">
        <v>0</v>
      </c>
      <c r="I49" s="3">
        <v>15</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O19"/>
  <sheetViews>
    <sheetView zoomScalePageLayoutView="0" workbookViewId="0" topLeftCell="A1">
      <selection activeCell="A1" sqref="A1"/>
    </sheetView>
  </sheetViews>
  <sheetFormatPr defaultColWidth="9.140625" defaultRowHeight="12.75"/>
  <sheetData>
    <row r="1" ht="18">
      <c r="A1" s="1" t="s">
        <v>703</v>
      </c>
    </row>
    <row r="5" spans="1:14" ht="12.75">
      <c r="A5" s="2" t="s">
        <v>704</v>
      </c>
      <c r="B5" s="2" t="s">
        <v>705</v>
      </c>
      <c r="D5" s="2" t="s">
        <v>706</v>
      </c>
      <c r="F5" s="2" t="s">
        <v>707</v>
      </c>
      <c r="H5" s="2" t="s">
        <v>212</v>
      </c>
      <c r="J5" s="2" t="s">
        <v>708</v>
      </c>
      <c r="L5" s="2" t="s">
        <v>709</v>
      </c>
      <c r="N5" s="2" t="s">
        <v>710</v>
      </c>
    </row>
    <row r="6" spans="2:15" ht="12.75">
      <c r="B6" t="s">
        <v>528</v>
      </c>
      <c r="C6" t="s">
        <v>529</v>
      </c>
      <c r="D6" t="s">
        <v>528</v>
      </c>
      <c r="E6" t="s">
        <v>529</v>
      </c>
      <c r="F6" t="s">
        <v>528</v>
      </c>
      <c r="G6" t="s">
        <v>529</v>
      </c>
      <c r="H6" t="s">
        <v>528</v>
      </c>
      <c r="I6" t="s">
        <v>529</v>
      </c>
      <c r="J6" t="s">
        <v>528</v>
      </c>
      <c r="K6" t="s">
        <v>529</v>
      </c>
      <c r="L6" t="s">
        <v>528</v>
      </c>
      <c r="M6" t="s">
        <v>529</v>
      </c>
      <c r="N6" t="s">
        <v>528</v>
      </c>
      <c r="O6" t="s">
        <v>529</v>
      </c>
    </row>
    <row r="7" spans="1:15" ht="12.75">
      <c r="A7" t="s">
        <v>97</v>
      </c>
      <c r="B7" s="7">
        <v>13.95</v>
      </c>
      <c r="C7" s="7">
        <v>23.04</v>
      </c>
      <c r="D7" s="7">
        <v>0</v>
      </c>
      <c r="E7" s="7">
        <v>0</v>
      </c>
      <c r="F7" s="7">
        <v>0</v>
      </c>
      <c r="G7" s="7">
        <v>0</v>
      </c>
      <c r="H7" s="7">
        <v>0</v>
      </c>
      <c r="I7" s="7">
        <v>0</v>
      </c>
      <c r="J7" s="7">
        <v>4</v>
      </c>
      <c r="K7" s="7">
        <v>7</v>
      </c>
      <c r="L7" s="7">
        <v>0</v>
      </c>
      <c r="M7" s="7">
        <v>0</v>
      </c>
      <c r="N7" s="7">
        <v>173</v>
      </c>
      <c r="O7" s="7">
        <v>134</v>
      </c>
    </row>
    <row r="8" spans="1:15" ht="12.75">
      <c r="A8" t="s">
        <v>98</v>
      </c>
      <c r="B8" s="7">
        <v>0</v>
      </c>
      <c r="C8" s="7">
        <v>0</v>
      </c>
      <c r="D8" s="7">
        <v>0</v>
      </c>
      <c r="E8" s="7">
        <v>0</v>
      </c>
      <c r="F8" s="7">
        <v>0</v>
      </c>
      <c r="G8" s="7">
        <v>0</v>
      </c>
      <c r="H8" s="7">
        <v>0</v>
      </c>
      <c r="I8" s="7">
        <v>0</v>
      </c>
      <c r="J8" s="7">
        <v>1</v>
      </c>
      <c r="K8" s="7">
        <v>0</v>
      </c>
      <c r="L8" s="7">
        <v>0</v>
      </c>
      <c r="M8" s="7">
        <v>0</v>
      </c>
      <c r="N8" s="7">
        <v>22</v>
      </c>
      <c r="O8" s="7">
        <v>5</v>
      </c>
    </row>
    <row r="9" spans="1:15" ht="12.75">
      <c r="A9" t="s">
        <v>99</v>
      </c>
      <c r="B9" s="7">
        <v>6.37</v>
      </c>
      <c r="C9" s="7">
        <v>19.12</v>
      </c>
      <c r="D9" s="7">
        <v>0</v>
      </c>
      <c r="E9" s="7">
        <v>0</v>
      </c>
      <c r="F9" s="7">
        <v>0</v>
      </c>
      <c r="G9" s="7">
        <v>0</v>
      </c>
      <c r="H9" s="7">
        <v>0</v>
      </c>
      <c r="I9" s="7">
        <v>0</v>
      </c>
      <c r="J9" s="7">
        <v>1</v>
      </c>
      <c r="K9" s="7">
        <v>6</v>
      </c>
      <c r="L9" s="7">
        <v>0</v>
      </c>
      <c r="M9" s="7">
        <v>0</v>
      </c>
      <c r="N9" s="7">
        <v>9</v>
      </c>
      <c r="O9" s="7">
        <v>21</v>
      </c>
    </row>
    <row r="10" spans="1:15" ht="12.75">
      <c r="A10" t="s">
        <v>711</v>
      </c>
      <c r="B10" s="7">
        <v>40.19</v>
      </c>
      <c r="C10" s="7">
        <v>89.65</v>
      </c>
      <c r="D10" s="7">
        <v>0</v>
      </c>
      <c r="E10" s="7">
        <v>0</v>
      </c>
      <c r="F10" s="7">
        <v>0</v>
      </c>
      <c r="G10" s="7">
        <v>0</v>
      </c>
      <c r="H10" s="7">
        <v>0</v>
      </c>
      <c r="I10" s="7">
        <v>0</v>
      </c>
      <c r="J10" s="7">
        <v>0</v>
      </c>
      <c r="K10" s="7">
        <v>16</v>
      </c>
      <c r="L10" s="7">
        <v>248</v>
      </c>
      <c r="M10" s="7">
        <v>616</v>
      </c>
      <c r="N10" s="7">
        <v>127</v>
      </c>
      <c r="O10" s="7">
        <v>205</v>
      </c>
    </row>
    <row r="11" spans="1:15" ht="12.75">
      <c r="A11" t="s">
        <v>101</v>
      </c>
      <c r="B11" s="7">
        <v>8.25</v>
      </c>
      <c r="C11" s="7">
        <v>20.21</v>
      </c>
      <c r="D11" s="7">
        <v>0</v>
      </c>
      <c r="E11" s="7">
        <v>0</v>
      </c>
      <c r="F11" s="7">
        <v>0</v>
      </c>
      <c r="G11" s="7">
        <v>0</v>
      </c>
      <c r="H11" s="7">
        <v>0</v>
      </c>
      <c r="I11" s="7">
        <v>0</v>
      </c>
      <c r="J11" s="7">
        <v>0</v>
      </c>
      <c r="K11" s="7">
        <v>1</v>
      </c>
      <c r="L11" s="7">
        <v>50</v>
      </c>
      <c r="M11" s="7">
        <v>82</v>
      </c>
      <c r="N11" s="7">
        <v>50</v>
      </c>
      <c r="O11" s="7">
        <v>65</v>
      </c>
    </row>
    <row r="12" spans="1:15" ht="12.75">
      <c r="A12" t="s">
        <v>102</v>
      </c>
      <c r="B12" s="7">
        <v>5.41</v>
      </c>
      <c r="C12" s="7">
        <v>3.07</v>
      </c>
      <c r="D12" s="7">
        <v>0</v>
      </c>
      <c r="E12" s="7">
        <v>0</v>
      </c>
      <c r="F12" s="7">
        <v>0</v>
      </c>
      <c r="G12" s="7">
        <v>0</v>
      </c>
      <c r="H12" s="7">
        <v>0</v>
      </c>
      <c r="I12" s="7">
        <v>0</v>
      </c>
      <c r="J12" s="7">
        <v>2</v>
      </c>
      <c r="K12" s="7">
        <v>2</v>
      </c>
      <c r="L12" s="7">
        <v>0</v>
      </c>
      <c r="M12" s="7">
        <v>0</v>
      </c>
      <c r="N12" s="7">
        <v>23</v>
      </c>
      <c r="O12" s="7">
        <v>10</v>
      </c>
    </row>
    <row r="13" spans="1:15" ht="12.75">
      <c r="A13" t="s">
        <v>103</v>
      </c>
      <c r="B13" s="7">
        <v>3.75</v>
      </c>
      <c r="C13" s="7">
        <v>6.91</v>
      </c>
      <c r="D13" s="7">
        <v>0</v>
      </c>
      <c r="E13" s="7">
        <v>0</v>
      </c>
      <c r="F13" s="7">
        <v>0</v>
      </c>
      <c r="G13" s="7">
        <v>0</v>
      </c>
      <c r="H13" s="7">
        <v>0</v>
      </c>
      <c r="I13" s="7">
        <v>0</v>
      </c>
      <c r="J13" s="7">
        <v>1</v>
      </c>
      <c r="K13" s="7">
        <v>2</v>
      </c>
      <c r="L13" s="7">
        <v>1</v>
      </c>
      <c r="M13" s="7">
        <v>1</v>
      </c>
      <c r="N13" s="7">
        <v>1</v>
      </c>
      <c r="O13" s="7">
        <v>2</v>
      </c>
    </row>
    <row r="14" spans="1:15" ht="12.75">
      <c r="A14" t="s">
        <v>104</v>
      </c>
      <c r="B14" s="7">
        <v>0.05</v>
      </c>
      <c r="C14" s="7">
        <v>0</v>
      </c>
      <c r="D14" s="7">
        <v>0</v>
      </c>
      <c r="E14" s="7">
        <v>0</v>
      </c>
      <c r="F14" s="7">
        <v>0</v>
      </c>
      <c r="G14" s="7">
        <v>0</v>
      </c>
      <c r="H14" s="7">
        <v>0</v>
      </c>
      <c r="I14" s="7">
        <v>0</v>
      </c>
      <c r="J14" s="7">
        <v>2</v>
      </c>
      <c r="K14" s="7">
        <v>0</v>
      </c>
      <c r="L14" s="7">
        <v>0</v>
      </c>
      <c r="M14" s="7">
        <v>0</v>
      </c>
      <c r="N14" s="7">
        <v>0</v>
      </c>
      <c r="O14" s="7">
        <v>1</v>
      </c>
    </row>
    <row r="15" spans="1:15" ht="12.75">
      <c r="A15" t="s">
        <v>106</v>
      </c>
      <c r="B15" s="7">
        <v>1</v>
      </c>
      <c r="C15" s="7">
        <v>0</v>
      </c>
      <c r="D15" s="7">
        <v>0</v>
      </c>
      <c r="E15" s="7">
        <v>0</v>
      </c>
      <c r="F15" s="7">
        <v>0</v>
      </c>
      <c r="G15" s="7">
        <v>0</v>
      </c>
      <c r="H15" s="7">
        <v>0</v>
      </c>
      <c r="I15" s="7">
        <v>0</v>
      </c>
      <c r="J15" s="7">
        <v>1</v>
      </c>
      <c r="K15" s="7">
        <v>0</v>
      </c>
      <c r="L15" s="7">
        <v>0</v>
      </c>
      <c r="M15" s="7">
        <v>0</v>
      </c>
      <c r="N15" s="7">
        <v>0</v>
      </c>
      <c r="O15" s="7">
        <v>0</v>
      </c>
    </row>
    <row r="16" spans="1:15" ht="12.75">
      <c r="A16" t="s">
        <v>107</v>
      </c>
      <c r="B16" s="7">
        <v>30.23</v>
      </c>
      <c r="C16" s="7">
        <v>70.67</v>
      </c>
      <c r="D16" s="7">
        <v>0</v>
      </c>
      <c r="E16" s="7">
        <v>0</v>
      </c>
      <c r="F16" s="7">
        <v>0</v>
      </c>
      <c r="G16" s="7">
        <v>0</v>
      </c>
      <c r="H16" s="7">
        <v>0</v>
      </c>
      <c r="I16" s="7">
        <v>0</v>
      </c>
      <c r="J16" s="7">
        <v>12</v>
      </c>
      <c r="K16" s="7">
        <v>17</v>
      </c>
      <c r="L16" s="7">
        <v>82</v>
      </c>
      <c r="M16" s="7">
        <v>176</v>
      </c>
      <c r="N16" s="7">
        <v>48</v>
      </c>
      <c r="O16" s="7">
        <v>96</v>
      </c>
    </row>
    <row r="17" spans="1:15" ht="12.75">
      <c r="A17" t="s">
        <v>108</v>
      </c>
      <c r="B17" s="7">
        <v>1</v>
      </c>
      <c r="C17" s="7">
        <v>1.19</v>
      </c>
      <c r="D17" s="7">
        <v>0</v>
      </c>
      <c r="E17" s="7">
        <v>0</v>
      </c>
      <c r="F17" s="7">
        <v>0</v>
      </c>
      <c r="G17" s="7">
        <v>0</v>
      </c>
      <c r="H17" s="7">
        <v>0</v>
      </c>
      <c r="I17" s="7">
        <v>0</v>
      </c>
      <c r="J17" s="7">
        <v>0</v>
      </c>
      <c r="K17" s="7">
        <v>1</v>
      </c>
      <c r="L17" s="7">
        <v>0</v>
      </c>
      <c r="M17" s="7">
        <v>0</v>
      </c>
      <c r="N17" s="7">
        <v>0</v>
      </c>
      <c r="O17" s="7">
        <v>0</v>
      </c>
    </row>
    <row r="18" spans="1:15" ht="12.75">
      <c r="A18" t="s">
        <v>712</v>
      </c>
      <c r="B18" s="7">
        <v>0.63</v>
      </c>
      <c r="C18" s="7">
        <v>0</v>
      </c>
      <c r="D18" s="7">
        <v>0</v>
      </c>
      <c r="E18" s="7">
        <v>0</v>
      </c>
      <c r="F18" s="7">
        <v>0</v>
      </c>
      <c r="G18" s="7">
        <v>0</v>
      </c>
      <c r="H18" s="7">
        <v>0</v>
      </c>
      <c r="I18" s="7">
        <v>0</v>
      </c>
      <c r="J18" s="7">
        <v>25</v>
      </c>
      <c r="K18" s="7">
        <v>45</v>
      </c>
      <c r="L18" s="7">
        <v>3</v>
      </c>
      <c r="M18" s="7">
        <v>0</v>
      </c>
      <c r="N18" s="7">
        <v>3</v>
      </c>
      <c r="O18" s="7">
        <v>2</v>
      </c>
    </row>
    <row r="19" spans="1:15" ht="12.75">
      <c r="A19" s="2" t="s">
        <v>527</v>
      </c>
      <c r="B19" s="8">
        <f aca="true" t="shared" si="0" ref="B19:O19">SUM(B7:B18)</f>
        <v>110.82999999999998</v>
      </c>
      <c r="C19" s="8">
        <f t="shared" si="0"/>
        <v>233.86</v>
      </c>
      <c r="D19" s="8">
        <f t="shared" si="0"/>
        <v>0</v>
      </c>
      <c r="E19" s="8">
        <f t="shared" si="0"/>
        <v>0</v>
      </c>
      <c r="F19" s="8">
        <f t="shared" si="0"/>
        <v>0</v>
      </c>
      <c r="G19" s="8">
        <f t="shared" si="0"/>
        <v>0</v>
      </c>
      <c r="H19" s="8">
        <f t="shared" si="0"/>
        <v>0</v>
      </c>
      <c r="I19" s="8">
        <f t="shared" si="0"/>
        <v>0</v>
      </c>
      <c r="J19" s="8">
        <f t="shared" si="0"/>
        <v>49</v>
      </c>
      <c r="K19" s="8">
        <f t="shared" si="0"/>
        <v>97</v>
      </c>
      <c r="L19" s="8">
        <f t="shared" si="0"/>
        <v>384</v>
      </c>
      <c r="M19" s="8">
        <f t="shared" si="0"/>
        <v>875</v>
      </c>
      <c r="N19" s="8">
        <f t="shared" si="0"/>
        <v>456</v>
      </c>
      <c r="O19" s="8">
        <f t="shared" si="0"/>
        <v>541</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
    </sheetView>
  </sheetViews>
  <sheetFormatPr defaultColWidth="9.140625" defaultRowHeight="12.75"/>
  <sheetData>
    <row r="1" ht="18">
      <c r="A1" s="1" t="s">
        <v>713</v>
      </c>
    </row>
    <row r="5" spans="1:8" ht="12.75">
      <c r="A5" s="2" t="s">
        <v>714</v>
      </c>
      <c r="B5" s="2" t="s">
        <v>715</v>
      </c>
      <c r="D5" s="2" t="s">
        <v>716</v>
      </c>
      <c r="F5" s="2" t="s">
        <v>717</v>
      </c>
      <c r="H5" s="2" t="s">
        <v>718</v>
      </c>
    </row>
    <row r="6" spans="2:9" ht="12.75">
      <c r="B6" t="s">
        <v>528</v>
      </c>
      <c r="C6" t="s">
        <v>529</v>
      </c>
      <c r="D6" t="s">
        <v>528</v>
      </c>
      <c r="E6" t="s">
        <v>529</v>
      </c>
      <c r="F6" t="s">
        <v>528</v>
      </c>
      <c r="G6" t="s">
        <v>529</v>
      </c>
      <c r="H6" t="s">
        <v>528</v>
      </c>
      <c r="I6" t="s">
        <v>529</v>
      </c>
    </row>
    <row r="7" spans="1:9" ht="12.75">
      <c r="A7" s="2" t="s">
        <v>185</v>
      </c>
      <c r="B7" s="3">
        <v>0</v>
      </c>
      <c r="C7" s="3">
        <v>0</v>
      </c>
      <c r="D7" s="3">
        <v>0</v>
      </c>
      <c r="E7" s="3">
        <v>0</v>
      </c>
      <c r="F7" s="3">
        <v>0</v>
      </c>
      <c r="G7" s="3">
        <v>0</v>
      </c>
      <c r="H7" s="3">
        <v>0</v>
      </c>
      <c r="I7" s="3">
        <v>0</v>
      </c>
    </row>
    <row r="9" spans="1:5" ht="12.75">
      <c r="A9" s="2" t="s">
        <v>704</v>
      </c>
      <c r="E9" s="2" t="s">
        <v>719</v>
      </c>
    </row>
    <row r="10" spans="1:9" ht="12.75">
      <c r="A10" t="s">
        <v>108</v>
      </c>
      <c r="B10" s="3">
        <v>0</v>
      </c>
      <c r="C10" s="3">
        <v>0</v>
      </c>
      <c r="D10" s="3">
        <v>1</v>
      </c>
      <c r="E10" s="3">
        <v>1</v>
      </c>
      <c r="F10" s="3">
        <v>0</v>
      </c>
      <c r="G10" s="3">
        <v>1</v>
      </c>
      <c r="H10" s="3">
        <v>0</v>
      </c>
      <c r="I10" s="3">
        <v>0</v>
      </c>
    </row>
    <row r="11" spans="1:9" ht="12.75">
      <c r="A11" t="s">
        <v>103</v>
      </c>
      <c r="B11" s="3">
        <v>0</v>
      </c>
      <c r="C11" s="3">
        <v>1</v>
      </c>
      <c r="D11" s="3">
        <v>3</v>
      </c>
      <c r="E11" s="3">
        <v>4</v>
      </c>
      <c r="F11" s="3">
        <v>0</v>
      </c>
      <c r="G11" s="3">
        <v>0</v>
      </c>
      <c r="H11" s="3">
        <v>0</v>
      </c>
      <c r="I11" s="3">
        <v>0</v>
      </c>
    </row>
    <row r="12" spans="1:9" ht="12.75">
      <c r="A12" t="s">
        <v>97</v>
      </c>
      <c r="B12" s="3">
        <v>5</v>
      </c>
      <c r="C12" s="3">
        <v>18</v>
      </c>
      <c r="D12" s="3">
        <v>1</v>
      </c>
      <c r="E12" s="3">
        <v>2</v>
      </c>
      <c r="F12" s="3">
        <v>1</v>
      </c>
      <c r="G12" s="3">
        <v>0</v>
      </c>
      <c r="H12" s="3">
        <v>0</v>
      </c>
      <c r="I12" s="3">
        <v>0</v>
      </c>
    </row>
    <row r="13" spans="1:9" ht="12.75">
      <c r="A13" t="s">
        <v>99</v>
      </c>
      <c r="B13" s="3">
        <v>3</v>
      </c>
      <c r="C13" s="3">
        <v>9</v>
      </c>
      <c r="D13" s="3">
        <v>3</v>
      </c>
      <c r="E13" s="3">
        <v>8</v>
      </c>
      <c r="F13" s="3">
        <v>0</v>
      </c>
      <c r="G13" s="3">
        <v>0</v>
      </c>
      <c r="H13" s="3">
        <v>0</v>
      </c>
      <c r="I13" s="3">
        <v>0</v>
      </c>
    </row>
    <row r="14" spans="1:9" ht="12.75">
      <c r="A14" t="s">
        <v>711</v>
      </c>
      <c r="B14" s="3">
        <v>20</v>
      </c>
      <c r="C14" s="3">
        <v>46</v>
      </c>
      <c r="D14" s="3">
        <v>6</v>
      </c>
      <c r="E14" s="3">
        <v>7</v>
      </c>
      <c r="F14" s="3">
        <v>2</v>
      </c>
      <c r="G14" s="3">
        <v>11</v>
      </c>
      <c r="H14" s="3">
        <v>0</v>
      </c>
      <c r="I14" s="3">
        <v>0</v>
      </c>
    </row>
    <row r="15" spans="1:9" ht="12.75">
      <c r="A15" t="s">
        <v>101</v>
      </c>
      <c r="B15" s="3">
        <v>4</v>
      </c>
      <c r="C15" s="3">
        <v>11</v>
      </c>
      <c r="D15" s="3">
        <v>4</v>
      </c>
      <c r="E15" s="3">
        <v>3</v>
      </c>
      <c r="F15" s="3">
        <v>0</v>
      </c>
      <c r="G15" s="3">
        <v>1</v>
      </c>
      <c r="H15" s="3">
        <v>0</v>
      </c>
      <c r="I15" s="3">
        <v>0</v>
      </c>
    </row>
    <row r="16" spans="1:9" ht="12.75">
      <c r="A16" t="s">
        <v>102</v>
      </c>
      <c r="B16" s="3">
        <v>4</v>
      </c>
      <c r="C16" s="3">
        <v>1</v>
      </c>
      <c r="D16" s="3">
        <v>2</v>
      </c>
      <c r="E16" s="3">
        <v>2</v>
      </c>
      <c r="F16" s="3">
        <v>0</v>
      </c>
      <c r="G16" s="3">
        <v>0</v>
      </c>
      <c r="H16" s="3">
        <v>0</v>
      </c>
      <c r="I16" s="3">
        <v>0</v>
      </c>
    </row>
    <row r="17" spans="1:9" ht="12.75">
      <c r="A17" t="s">
        <v>104</v>
      </c>
      <c r="B17" s="3">
        <v>1</v>
      </c>
      <c r="C17" s="3">
        <v>0</v>
      </c>
      <c r="D17" s="3">
        <v>0</v>
      </c>
      <c r="E17" s="3">
        <v>0</v>
      </c>
      <c r="F17" s="3">
        <v>0</v>
      </c>
      <c r="G17" s="3">
        <v>0</v>
      </c>
      <c r="H17" s="3">
        <v>0</v>
      </c>
      <c r="I17" s="3">
        <v>0</v>
      </c>
    </row>
    <row r="18" spans="1:9" ht="12.75">
      <c r="A18" t="s">
        <v>106</v>
      </c>
      <c r="B18" s="3">
        <v>1</v>
      </c>
      <c r="C18" s="3">
        <v>0</v>
      </c>
      <c r="D18" s="3">
        <v>0</v>
      </c>
      <c r="E18" s="3">
        <v>0</v>
      </c>
      <c r="F18" s="3">
        <v>0</v>
      </c>
      <c r="G18" s="3">
        <v>0</v>
      </c>
      <c r="H18" s="3">
        <v>0</v>
      </c>
      <c r="I18" s="3">
        <v>0</v>
      </c>
    </row>
    <row r="19" spans="1:9" ht="12.75">
      <c r="A19" t="s">
        <v>107</v>
      </c>
      <c r="B19" s="3">
        <v>22</v>
      </c>
      <c r="C19" s="3">
        <v>51</v>
      </c>
      <c r="D19" s="3">
        <v>0</v>
      </c>
      <c r="E19" s="3">
        <v>4</v>
      </c>
      <c r="F19" s="3">
        <v>0</v>
      </c>
      <c r="G19" s="3">
        <v>0</v>
      </c>
      <c r="H19" s="3">
        <v>0</v>
      </c>
      <c r="I19" s="3">
        <v>0</v>
      </c>
    </row>
    <row r="20" spans="1:9" ht="12.75">
      <c r="A20" t="s">
        <v>712</v>
      </c>
      <c r="B20" s="3">
        <v>0</v>
      </c>
      <c r="C20" s="3">
        <v>0</v>
      </c>
      <c r="D20" s="3">
        <v>0</v>
      </c>
      <c r="E20" s="3">
        <v>0</v>
      </c>
      <c r="F20" s="3">
        <v>1</v>
      </c>
      <c r="G20" s="3">
        <v>0</v>
      </c>
      <c r="H20" s="3">
        <v>0</v>
      </c>
      <c r="I20" s="3">
        <v>0</v>
      </c>
    </row>
    <row r="21" spans="1:9" ht="12.75">
      <c r="A21" s="2" t="s">
        <v>720</v>
      </c>
      <c r="B21" s="6">
        <f aca="true" t="shared" si="0" ref="B21:I21">SUM(B10:B20)</f>
        <v>60</v>
      </c>
      <c r="C21" s="6">
        <f t="shared" si="0"/>
        <v>137</v>
      </c>
      <c r="D21" s="6">
        <f t="shared" si="0"/>
        <v>20</v>
      </c>
      <c r="E21" s="6">
        <f t="shared" si="0"/>
        <v>31</v>
      </c>
      <c r="F21" s="6">
        <f t="shared" si="0"/>
        <v>4</v>
      </c>
      <c r="G21" s="6">
        <f t="shared" si="0"/>
        <v>13</v>
      </c>
      <c r="H21" s="6">
        <f t="shared" si="0"/>
        <v>0</v>
      </c>
      <c r="I21" s="6">
        <f t="shared" si="0"/>
        <v>0</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O19"/>
  <sheetViews>
    <sheetView zoomScalePageLayoutView="0" workbookViewId="0" topLeftCell="A1">
      <selection activeCell="A1" sqref="A1"/>
    </sheetView>
  </sheetViews>
  <sheetFormatPr defaultColWidth="9.140625" defaultRowHeight="12.75"/>
  <sheetData>
    <row r="1" ht="18">
      <c r="A1" s="1" t="s">
        <v>721</v>
      </c>
    </row>
    <row r="5" spans="1:14" ht="12.75">
      <c r="A5" s="2" t="s">
        <v>522</v>
      </c>
      <c r="B5" s="2" t="s">
        <v>722</v>
      </c>
      <c r="D5" s="2" t="s">
        <v>723</v>
      </c>
      <c r="F5" s="2" t="s">
        <v>724</v>
      </c>
      <c r="H5" s="2" t="s">
        <v>725</v>
      </c>
      <c r="J5" s="2" t="s">
        <v>726</v>
      </c>
      <c r="L5" s="2" t="s">
        <v>727</v>
      </c>
      <c r="N5" s="2" t="s">
        <v>728</v>
      </c>
    </row>
    <row r="6" spans="2:15" ht="12.75">
      <c r="B6" t="s">
        <v>528</v>
      </c>
      <c r="C6" t="s">
        <v>529</v>
      </c>
      <c r="D6" t="s">
        <v>528</v>
      </c>
      <c r="E6" t="s">
        <v>529</v>
      </c>
      <c r="F6" t="s">
        <v>528</v>
      </c>
      <c r="G6" t="s">
        <v>529</v>
      </c>
      <c r="H6" t="s">
        <v>528</v>
      </c>
      <c r="I6" t="s">
        <v>529</v>
      </c>
      <c r="J6" t="s">
        <v>528</v>
      </c>
      <c r="K6" t="s">
        <v>529</v>
      </c>
      <c r="L6" t="s">
        <v>528</v>
      </c>
      <c r="M6" t="s">
        <v>529</v>
      </c>
      <c r="N6" t="s">
        <v>528</v>
      </c>
      <c r="O6" t="s">
        <v>529</v>
      </c>
    </row>
    <row r="7" spans="1:15" ht="12.75">
      <c r="A7" t="s">
        <v>533</v>
      </c>
      <c r="B7" s="3">
        <v>0</v>
      </c>
      <c r="C7" s="3">
        <v>0</v>
      </c>
      <c r="D7" s="3">
        <v>0</v>
      </c>
      <c r="E7" s="3">
        <v>0</v>
      </c>
      <c r="F7" s="3">
        <v>0</v>
      </c>
      <c r="G7" s="3">
        <v>0</v>
      </c>
      <c r="H7" s="3">
        <v>1</v>
      </c>
      <c r="I7" s="3">
        <v>1</v>
      </c>
      <c r="J7" s="3">
        <v>0</v>
      </c>
      <c r="K7" s="3">
        <v>0</v>
      </c>
      <c r="L7" s="3">
        <v>0</v>
      </c>
      <c r="M7" s="3">
        <v>0</v>
      </c>
      <c r="N7" s="3">
        <v>0</v>
      </c>
      <c r="O7" s="3">
        <v>0</v>
      </c>
    </row>
    <row r="8" spans="1:15" ht="12.75">
      <c r="A8" t="s">
        <v>537</v>
      </c>
      <c r="B8" s="3">
        <v>1</v>
      </c>
      <c r="C8" s="3">
        <v>1</v>
      </c>
      <c r="D8" s="3">
        <v>0</v>
      </c>
      <c r="E8" s="3">
        <v>0</v>
      </c>
      <c r="F8" s="3">
        <v>0</v>
      </c>
      <c r="G8" s="3">
        <v>0</v>
      </c>
      <c r="H8" s="3">
        <v>0</v>
      </c>
      <c r="I8" s="3">
        <v>0</v>
      </c>
      <c r="J8" s="3">
        <v>0</v>
      </c>
      <c r="K8" s="3">
        <v>0</v>
      </c>
      <c r="L8" s="3">
        <v>0</v>
      </c>
      <c r="M8" s="3">
        <v>0</v>
      </c>
      <c r="N8" s="3">
        <v>0</v>
      </c>
      <c r="O8" s="3">
        <v>0</v>
      </c>
    </row>
    <row r="9" spans="1:15" ht="12.75">
      <c r="A9" t="s">
        <v>538</v>
      </c>
      <c r="B9" s="3">
        <v>0</v>
      </c>
      <c r="C9" s="3">
        <v>1</v>
      </c>
      <c r="D9" s="3">
        <v>0</v>
      </c>
      <c r="E9" s="3">
        <v>0</v>
      </c>
      <c r="F9" s="3">
        <v>0</v>
      </c>
      <c r="G9" s="3">
        <v>0</v>
      </c>
      <c r="H9" s="3">
        <v>1</v>
      </c>
      <c r="I9" s="3">
        <v>0</v>
      </c>
      <c r="J9" s="3">
        <v>0</v>
      </c>
      <c r="K9" s="3">
        <v>0</v>
      </c>
      <c r="L9" s="3">
        <v>0</v>
      </c>
      <c r="M9" s="3">
        <v>0</v>
      </c>
      <c r="N9" s="3">
        <v>0</v>
      </c>
      <c r="O9" s="3">
        <v>0</v>
      </c>
    </row>
    <row r="10" spans="1:15" ht="12.75">
      <c r="A10" t="s">
        <v>556</v>
      </c>
      <c r="B10" s="3">
        <v>0</v>
      </c>
      <c r="C10" s="3">
        <v>4</v>
      </c>
      <c r="D10" s="3">
        <v>0</v>
      </c>
      <c r="E10" s="3">
        <v>0</v>
      </c>
      <c r="F10" s="3">
        <v>0</v>
      </c>
      <c r="G10" s="3">
        <v>0</v>
      </c>
      <c r="H10" s="3">
        <v>0</v>
      </c>
      <c r="I10" s="3">
        <v>1</v>
      </c>
      <c r="J10" s="3">
        <v>0</v>
      </c>
      <c r="K10" s="3">
        <v>0</v>
      </c>
      <c r="L10" s="3">
        <v>0</v>
      </c>
      <c r="M10" s="3">
        <v>0</v>
      </c>
      <c r="N10" s="3">
        <v>0</v>
      </c>
      <c r="O10" s="3">
        <v>0</v>
      </c>
    </row>
    <row r="11" spans="1:15" ht="12.75">
      <c r="A11" t="s">
        <v>559</v>
      </c>
      <c r="B11" s="3">
        <v>0</v>
      </c>
      <c r="C11" s="3">
        <v>0</v>
      </c>
      <c r="D11" s="3">
        <v>0</v>
      </c>
      <c r="E11" s="3">
        <v>0</v>
      </c>
      <c r="F11" s="3">
        <v>0</v>
      </c>
      <c r="G11" s="3">
        <v>0</v>
      </c>
      <c r="H11" s="3">
        <v>0</v>
      </c>
      <c r="I11" s="3">
        <v>0</v>
      </c>
      <c r="J11" s="3">
        <v>0</v>
      </c>
      <c r="K11" s="3">
        <v>1</v>
      </c>
      <c r="L11" s="3">
        <v>0</v>
      </c>
      <c r="M11" s="3">
        <v>0</v>
      </c>
      <c r="N11" s="3">
        <v>0</v>
      </c>
      <c r="O11" s="3">
        <v>0</v>
      </c>
    </row>
    <row r="12" spans="1:15" ht="12.75">
      <c r="A12" t="s">
        <v>561</v>
      </c>
      <c r="B12" s="3">
        <v>1</v>
      </c>
      <c r="C12" s="3">
        <v>1</v>
      </c>
      <c r="D12" s="3">
        <v>0</v>
      </c>
      <c r="E12" s="3">
        <v>0</v>
      </c>
      <c r="F12" s="3">
        <v>0</v>
      </c>
      <c r="G12" s="3">
        <v>0</v>
      </c>
      <c r="H12" s="3">
        <v>0</v>
      </c>
      <c r="I12" s="3">
        <v>0</v>
      </c>
      <c r="J12" s="3">
        <v>0</v>
      </c>
      <c r="K12" s="3">
        <v>0</v>
      </c>
      <c r="L12" s="3">
        <v>0</v>
      </c>
      <c r="M12" s="3">
        <v>0</v>
      </c>
      <c r="N12" s="3">
        <v>0</v>
      </c>
      <c r="O12" s="3">
        <v>0</v>
      </c>
    </row>
    <row r="13" spans="1:15" ht="12.75">
      <c r="A13" t="s">
        <v>563</v>
      </c>
      <c r="B13" s="3">
        <v>0</v>
      </c>
      <c r="C13" s="3">
        <v>0</v>
      </c>
      <c r="D13" s="3">
        <v>0</v>
      </c>
      <c r="E13" s="3">
        <v>0</v>
      </c>
      <c r="F13" s="3">
        <v>0</v>
      </c>
      <c r="G13" s="3">
        <v>0</v>
      </c>
      <c r="H13" s="3">
        <v>0</v>
      </c>
      <c r="I13" s="3">
        <v>0</v>
      </c>
      <c r="J13" s="3">
        <v>0</v>
      </c>
      <c r="K13" s="3">
        <v>1</v>
      </c>
      <c r="L13" s="3">
        <v>0</v>
      </c>
      <c r="M13" s="3">
        <v>0</v>
      </c>
      <c r="N13" s="3">
        <v>0</v>
      </c>
      <c r="O13" s="3">
        <v>0</v>
      </c>
    </row>
    <row r="14" spans="1:15" ht="12.75">
      <c r="A14" t="s">
        <v>574</v>
      </c>
      <c r="B14" s="3">
        <v>0</v>
      </c>
      <c r="C14" s="3">
        <v>0</v>
      </c>
      <c r="D14" s="3">
        <v>0</v>
      </c>
      <c r="E14" s="3">
        <v>0</v>
      </c>
      <c r="F14" s="3">
        <v>0</v>
      </c>
      <c r="G14" s="3">
        <v>0</v>
      </c>
      <c r="H14" s="3">
        <v>0</v>
      </c>
      <c r="I14" s="3">
        <v>0</v>
      </c>
      <c r="J14" s="3">
        <v>0</v>
      </c>
      <c r="K14" s="3">
        <v>1</v>
      </c>
      <c r="L14" s="3">
        <v>0</v>
      </c>
      <c r="M14" s="3">
        <v>0</v>
      </c>
      <c r="N14" s="3">
        <v>0</v>
      </c>
      <c r="O14" s="3">
        <v>0</v>
      </c>
    </row>
    <row r="15" spans="1:15" ht="12.75">
      <c r="A15" t="s">
        <v>578</v>
      </c>
      <c r="B15" s="3">
        <v>1</v>
      </c>
      <c r="C15" s="3">
        <v>0</v>
      </c>
      <c r="D15" s="3">
        <v>0</v>
      </c>
      <c r="E15" s="3">
        <v>0</v>
      </c>
      <c r="F15" s="3">
        <v>0</v>
      </c>
      <c r="G15" s="3">
        <v>0</v>
      </c>
      <c r="H15" s="3">
        <v>0</v>
      </c>
      <c r="I15" s="3">
        <v>1</v>
      </c>
      <c r="J15" s="3">
        <v>0</v>
      </c>
      <c r="K15" s="3">
        <v>0</v>
      </c>
      <c r="L15" s="3">
        <v>0</v>
      </c>
      <c r="M15" s="3">
        <v>0</v>
      </c>
      <c r="N15" s="3">
        <v>0</v>
      </c>
      <c r="O15" s="3">
        <v>0</v>
      </c>
    </row>
    <row r="16" spans="1:15" ht="12.75">
      <c r="A16" t="s">
        <v>585</v>
      </c>
      <c r="B16" s="3">
        <v>0</v>
      </c>
      <c r="C16" s="3">
        <v>2</v>
      </c>
      <c r="D16" s="3">
        <v>0</v>
      </c>
      <c r="E16" s="3">
        <v>0</v>
      </c>
      <c r="F16" s="3">
        <v>0</v>
      </c>
      <c r="G16" s="3">
        <v>0</v>
      </c>
      <c r="H16" s="3">
        <v>1</v>
      </c>
      <c r="I16" s="3">
        <v>0</v>
      </c>
      <c r="J16" s="3">
        <v>0</v>
      </c>
      <c r="K16" s="3">
        <v>1</v>
      </c>
      <c r="L16" s="3">
        <v>0</v>
      </c>
      <c r="M16" s="3">
        <v>0</v>
      </c>
      <c r="N16" s="3">
        <v>0</v>
      </c>
      <c r="O16" s="3">
        <v>0</v>
      </c>
    </row>
    <row r="17" spans="1:15" ht="12.75">
      <c r="A17" t="s">
        <v>586</v>
      </c>
      <c r="B17" s="3">
        <v>0</v>
      </c>
      <c r="C17" s="3">
        <v>2</v>
      </c>
      <c r="D17" s="3">
        <v>0</v>
      </c>
      <c r="E17" s="3">
        <v>0</v>
      </c>
      <c r="F17" s="3">
        <v>0</v>
      </c>
      <c r="G17" s="3">
        <v>0</v>
      </c>
      <c r="H17" s="3">
        <v>0</v>
      </c>
      <c r="I17" s="3">
        <v>0</v>
      </c>
      <c r="J17" s="3">
        <v>0</v>
      </c>
      <c r="K17" s="3">
        <v>0</v>
      </c>
      <c r="L17" s="3">
        <v>0</v>
      </c>
      <c r="M17" s="3">
        <v>0</v>
      </c>
      <c r="N17" s="3">
        <v>0</v>
      </c>
      <c r="O17" s="3">
        <v>0</v>
      </c>
    </row>
    <row r="18" spans="1:15" ht="12.75">
      <c r="A18" t="s">
        <v>589</v>
      </c>
      <c r="B18" s="3">
        <v>0</v>
      </c>
      <c r="C18" s="3">
        <v>0</v>
      </c>
      <c r="D18" s="3">
        <v>0</v>
      </c>
      <c r="E18" s="3">
        <v>0</v>
      </c>
      <c r="F18" s="3">
        <v>0</v>
      </c>
      <c r="G18" s="3">
        <v>0</v>
      </c>
      <c r="H18" s="3">
        <v>0</v>
      </c>
      <c r="I18" s="3">
        <v>0</v>
      </c>
      <c r="J18" s="3">
        <v>0</v>
      </c>
      <c r="K18" s="3">
        <v>1</v>
      </c>
      <c r="L18" s="3">
        <v>0</v>
      </c>
      <c r="M18" s="3">
        <v>0</v>
      </c>
      <c r="N18" s="3">
        <v>0</v>
      </c>
      <c r="O18" s="3">
        <v>0</v>
      </c>
    </row>
    <row r="19" spans="1:15" ht="12.75">
      <c r="A19" s="2" t="s">
        <v>527</v>
      </c>
      <c r="B19" s="6">
        <f aca="true" t="shared" si="0" ref="B19:O19">SUM(B7:B18)</f>
        <v>3</v>
      </c>
      <c r="C19" s="6">
        <f t="shared" si="0"/>
        <v>11</v>
      </c>
      <c r="D19" s="6">
        <f t="shared" si="0"/>
        <v>0</v>
      </c>
      <c r="E19" s="6">
        <f t="shared" si="0"/>
        <v>0</v>
      </c>
      <c r="F19" s="6">
        <f t="shared" si="0"/>
        <v>0</v>
      </c>
      <c r="G19" s="6">
        <f t="shared" si="0"/>
        <v>0</v>
      </c>
      <c r="H19" s="6">
        <f t="shared" si="0"/>
        <v>3</v>
      </c>
      <c r="I19" s="6">
        <f t="shared" si="0"/>
        <v>3</v>
      </c>
      <c r="J19" s="6">
        <f t="shared" si="0"/>
        <v>0</v>
      </c>
      <c r="K19" s="6">
        <f t="shared" si="0"/>
        <v>5</v>
      </c>
      <c r="L19" s="6">
        <f t="shared" si="0"/>
        <v>0</v>
      </c>
      <c r="M19" s="6">
        <f t="shared" si="0"/>
        <v>0</v>
      </c>
      <c r="N19" s="6">
        <f t="shared" si="0"/>
        <v>0</v>
      </c>
      <c r="O19" s="6">
        <f t="shared" si="0"/>
        <v>0</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84</v>
      </c>
    </row>
    <row r="3" ht="12.75">
      <c r="A3" s="2" t="s">
        <v>85</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C32"/>
  <sheetViews>
    <sheetView zoomScalePageLayoutView="0" workbookViewId="0" topLeftCell="A1">
      <selection activeCell="A1" sqref="A1"/>
    </sheetView>
  </sheetViews>
  <sheetFormatPr defaultColWidth="9.140625" defaultRowHeight="12.75"/>
  <sheetData>
    <row r="1" ht="18">
      <c r="A1" s="1" t="s">
        <v>729</v>
      </c>
    </row>
    <row r="5" spans="1:3" ht="12.75">
      <c r="A5" s="2" t="s">
        <v>730</v>
      </c>
      <c r="B5" s="2" t="s">
        <v>731</v>
      </c>
      <c r="C5" s="2" t="s">
        <v>732</v>
      </c>
    </row>
    <row r="7" spans="1:3" ht="12.75">
      <c r="A7" t="s">
        <v>537</v>
      </c>
      <c r="B7" t="s">
        <v>536</v>
      </c>
      <c r="C7" s="3">
        <v>1</v>
      </c>
    </row>
    <row r="8" spans="1:3" ht="12.75">
      <c r="A8" s="2" t="s">
        <v>733</v>
      </c>
      <c r="C8" s="6">
        <f>SUM(C6:C7)</f>
        <v>1</v>
      </c>
    </row>
    <row r="11" spans="1:3" ht="12.75">
      <c r="A11" t="s">
        <v>539</v>
      </c>
      <c r="B11" t="s">
        <v>540</v>
      </c>
      <c r="C11" s="3">
        <v>1</v>
      </c>
    </row>
    <row r="12" spans="1:3" ht="12.75">
      <c r="A12" s="2" t="s">
        <v>733</v>
      </c>
      <c r="C12" s="6">
        <f>SUM(C10:C11)</f>
        <v>1</v>
      </c>
    </row>
    <row r="15" spans="1:3" ht="12.75">
      <c r="A15" t="s">
        <v>567</v>
      </c>
      <c r="B15" t="s">
        <v>566</v>
      </c>
      <c r="C15" s="3">
        <v>1</v>
      </c>
    </row>
    <row r="16" spans="1:3" ht="12.75">
      <c r="A16" s="2" t="s">
        <v>733</v>
      </c>
      <c r="C16" s="6">
        <f>SUM(C14:C15)</f>
        <v>1</v>
      </c>
    </row>
    <row r="19" spans="1:3" ht="12.75">
      <c r="A19" t="s">
        <v>581</v>
      </c>
      <c r="B19" t="s">
        <v>578</v>
      </c>
      <c r="C19" s="3">
        <v>30</v>
      </c>
    </row>
    <row r="20" spans="1:3" ht="12.75">
      <c r="A20" s="2" t="s">
        <v>733</v>
      </c>
      <c r="C20" s="6">
        <f>SUM(C18:C19)</f>
        <v>30</v>
      </c>
    </row>
    <row r="23" spans="1:3" ht="12.75">
      <c r="A23" t="s">
        <v>586</v>
      </c>
      <c r="B23" t="s">
        <v>585</v>
      </c>
      <c r="C23" s="3">
        <v>17</v>
      </c>
    </row>
    <row r="24" spans="1:3" ht="12.75">
      <c r="A24" s="2" t="s">
        <v>733</v>
      </c>
      <c r="C24" s="6">
        <f>SUM(C22:C23)</f>
        <v>17</v>
      </c>
    </row>
    <row r="27" spans="1:3" ht="12.75">
      <c r="A27" t="s">
        <v>587</v>
      </c>
      <c r="B27" t="s">
        <v>586</v>
      </c>
      <c r="C27" s="3">
        <v>1</v>
      </c>
    </row>
    <row r="28" spans="1:3" ht="12.75">
      <c r="A28" s="2" t="s">
        <v>733</v>
      </c>
      <c r="C28" s="6">
        <f>SUM(C26:C27)</f>
        <v>1</v>
      </c>
    </row>
    <row r="31" spans="1:3" ht="12.75">
      <c r="A31" t="s">
        <v>588</v>
      </c>
      <c r="B31" t="s">
        <v>586</v>
      </c>
      <c r="C31" s="3">
        <v>9</v>
      </c>
    </row>
    <row r="32" spans="1:3" ht="12.75">
      <c r="A32" s="2" t="s">
        <v>733</v>
      </c>
      <c r="C32" s="6">
        <f>SUM(C30:C31)</f>
        <v>9</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
    </sheetView>
  </sheetViews>
  <sheetFormatPr defaultColWidth="9.140625" defaultRowHeight="12.75"/>
  <sheetData>
    <row r="1" ht="18">
      <c r="A1" s="1" t="s">
        <v>734</v>
      </c>
    </row>
    <row r="5" spans="2:20" ht="12.75">
      <c r="B5" s="2" t="s">
        <v>735</v>
      </c>
      <c r="D5" s="2" t="s">
        <v>736</v>
      </c>
      <c r="F5" s="2" t="s">
        <v>737</v>
      </c>
      <c r="H5" s="2" t="s">
        <v>738</v>
      </c>
      <c r="J5" s="2" t="s">
        <v>739</v>
      </c>
      <c r="L5" s="2" t="s">
        <v>740</v>
      </c>
      <c r="N5" s="2" t="s">
        <v>741</v>
      </c>
      <c r="P5" s="2" t="s">
        <v>742</v>
      </c>
      <c r="R5" s="2" t="s">
        <v>743</v>
      </c>
      <c r="T5" s="2" t="s">
        <v>527</v>
      </c>
    </row>
    <row r="6" spans="1:19" ht="12.75">
      <c r="A6" s="2" t="s">
        <v>522</v>
      </c>
      <c r="B6" t="s">
        <v>528</v>
      </c>
      <c r="C6" t="s">
        <v>529</v>
      </c>
      <c r="D6" t="s">
        <v>528</v>
      </c>
      <c r="E6" t="s">
        <v>529</v>
      </c>
      <c r="F6" t="s">
        <v>528</v>
      </c>
      <c r="G6" t="s">
        <v>529</v>
      </c>
      <c r="H6" t="s">
        <v>528</v>
      </c>
      <c r="I6" t="s">
        <v>529</v>
      </c>
      <c r="J6" t="s">
        <v>528</v>
      </c>
      <c r="K6" t="s">
        <v>529</v>
      </c>
      <c r="L6" t="s">
        <v>528</v>
      </c>
      <c r="M6" t="s">
        <v>529</v>
      </c>
      <c r="N6" t="s">
        <v>528</v>
      </c>
      <c r="O6" t="s">
        <v>529</v>
      </c>
      <c r="P6" t="s">
        <v>528</v>
      </c>
      <c r="Q6" t="s">
        <v>529</v>
      </c>
      <c r="R6" t="s">
        <v>528</v>
      </c>
      <c r="S6" t="s">
        <v>529</v>
      </c>
    </row>
    <row r="7" spans="1:20" ht="12.75">
      <c r="A7" t="s">
        <v>533</v>
      </c>
      <c r="B7" s="3">
        <v>3</v>
      </c>
      <c r="C7" s="3">
        <v>0</v>
      </c>
      <c r="D7" s="3">
        <v>0</v>
      </c>
      <c r="E7" s="3">
        <v>0</v>
      </c>
      <c r="F7" s="3">
        <v>0</v>
      </c>
      <c r="G7" s="3">
        <v>0</v>
      </c>
      <c r="H7" s="3">
        <v>0</v>
      </c>
      <c r="I7" s="3">
        <v>0</v>
      </c>
      <c r="J7" s="3">
        <v>0</v>
      </c>
      <c r="K7" s="3">
        <v>0</v>
      </c>
      <c r="L7" s="3">
        <v>0</v>
      </c>
      <c r="M7" s="3">
        <v>0</v>
      </c>
      <c r="N7" s="3">
        <v>0</v>
      </c>
      <c r="O7" s="3">
        <v>0</v>
      </c>
      <c r="P7" s="3">
        <v>0</v>
      </c>
      <c r="Q7" s="3">
        <v>0</v>
      </c>
      <c r="R7" s="3">
        <v>0</v>
      </c>
      <c r="S7" s="3">
        <v>0</v>
      </c>
      <c r="T7" s="6">
        <f aca="true" t="shared" si="0" ref="T7:T36">SUM(B7:S7)</f>
        <v>3</v>
      </c>
    </row>
    <row r="8" spans="1:20" ht="12.75">
      <c r="A8" t="s">
        <v>534</v>
      </c>
      <c r="B8" s="3">
        <v>1</v>
      </c>
      <c r="C8" s="3">
        <v>0</v>
      </c>
      <c r="D8" s="3">
        <v>0</v>
      </c>
      <c r="E8" s="3">
        <v>0</v>
      </c>
      <c r="F8" s="3">
        <v>0</v>
      </c>
      <c r="G8" s="3">
        <v>0</v>
      </c>
      <c r="H8" s="3">
        <v>0</v>
      </c>
      <c r="I8" s="3">
        <v>0</v>
      </c>
      <c r="J8" s="3">
        <v>0</v>
      </c>
      <c r="K8" s="3">
        <v>0</v>
      </c>
      <c r="L8" s="3">
        <v>0</v>
      </c>
      <c r="M8" s="3">
        <v>0</v>
      </c>
      <c r="N8" s="3">
        <v>0</v>
      </c>
      <c r="O8" s="3">
        <v>0</v>
      </c>
      <c r="P8" s="3">
        <v>0</v>
      </c>
      <c r="Q8" s="3">
        <v>0</v>
      </c>
      <c r="R8" s="3">
        <v>0</v>
      </c>
      <c r="S8" s="3">
        <v>0</v>
      </c>
      <c r="T8" s="6">
        <f t="shared" si="0"/>
        <v>1</v>
      </c>
    </row>
    <row r="9" spans="1:20" ht="12.75">
      <c r="A9" t="s">
        <v>535</v>
      </c>
      <c r="B9" s="3">
        <v>1</v>
      </c>
      <c r="C9" s="3">
        <v>1</v>
      </c>
      <c r="D9" s="3">
        <v>1</v>
      </c>
      <c r="E9" s="3">
        <v>0</v>
      </c>
      <c r="F9" s="3">
        <v>0</v>
      </c>
      <c r="G9" s="3">
        <v>0</v>
      </c>
      <c r="H9" s="3">
        <v>0</v>
      </c>
      <c r="I9" s="3">
        <v>0</v>
      </c>
      <c r="J9" s="3">
        <v>0</v>
      </c>
      <c r="K9" s="3">
        <v>0</v>
      </c>
      <c r="L9" s="3">
        <v>0</v>
      </c>
      <c r="M9" s="3">
        <v>0</v>
      </c>
      <c r="N9" s="3">
        <v>0</v>
      </c>
      <c r="O9" s="3">
        <v>0</v>
      </c>
      <c r="P9" s="3">
        <v>0</v>
      </c>
      <c r="Q9" s="3">
        <v>0</v>
      </c>
      <c r="R9" s="3">
        <v>0</v>
      </c>
      <c r="S9" s="3">
        <v>0</v>
      </c>
      <c r="T9" s="6">
        <f t="shared" si="0"/>
        <v>3</v>
      </c>
    </row>
    <row r="10" spans="1:20" ht="12.75">
      <c r="A10" t="s">
        <v>537</v>
      </c>
      <c r="B10" s="3">
        <v>3</v>
      </c>
      <c r="C10" s="3">
        <v>5</v>
      </c>
      <c r="D10" s="3">
        <v>9</v>
      </c>
      <c r="E10" s="3">
        <v>11</v>
      </c>
      <c r="F10" s="3">
        <v>0</v>
      </c>
      <c r="G10" s="3">
        <v>0</v>
      </c>
      <c r="H10" s="3">
        <v>3</v>
      </c>
      <c r="I10" s="3">
        <v>1</v>
      </c>
      <c r="J10" s="3">
        <v>0</v>
      </c>
      <c r="K10" s="3">
        <v>0</v>
      </c>
      <c r="L10" s="3">
        <v>0</v>
      </c>
      <c r="M10" s="3">
        <v>0</v>
      </c>
      <c r="N10" s="3">
        <v>0</v>
      </c>
      <c r="O10" s="3">
        <v>0</v>
      </c>
      <c r="P10" s="3">
        <v>0</v>
      </c>
      <c r="Q10" s="3">
        <v>0</v>
      </c>
      <c r="R10" s="3">
        <v>2</v>
      </c>
      <c r="S10" s="3">
        <v>2</v>
      </c>
      <c r="T10" s="6">
        <f t="shared" si="0"/>
        <v>36</v>
      </c>
    </row>
    <row r="11" spans="1:20" ht="12.75">
      <c r="A11" t="s">
        <v>538</v>
      </c>
      <c r="B11" s="3">
        <v>1</v>
      </c>
      <c r="C11" s="3">
        <v>0</v>
      </c>
      <c r="D11" s="3">
        <v>2</v>
      </c>
      <c r="E11" s="3">
        <v>2</v>
      </c>
      <c r="F11" s="3">
        <v>0</v>
      </c>
      <c r="G11" s="3">
        <v>0</v>
      </c>
      <c r="H11" s="3">
        <v>1</v>
      </c>
      <c r="I11" s="3">
        <v>0</v>
      </c>
      <c r="J11" s="3">
        <v>0</v>
      </c>
      <c r="K11" s="3">
        <v>0</v>
      </c>
      <c r="L11" s="3">
        <v>0</v>
      </c>
      <c r="M11" s="3">
        <v>0</v>
      </c>
      <c r="N11" s="3">
        <v>0</v>
      </c>
      <c r="O11" s="3">
        <v>0</v>
      </c>
      <c r="P11" s="3">
        <v>0</v>
      </c>
      <c r="Q11" s="3">
        <v>0</v>
      </c>
      <c r="R11" s="3">
        <v>0</v>
      </c>
      <c r="S11" s="3">
        <v>1</v>
      </c>
      <c r="T11" s="6">
        <f t="shared" si="0"/>
        <v>7</v>
      </c>
    </row>
    <row r="12" spans="1:20" ht="12.75">
      <c r="A12" t="s">
        <v>744</v>
      </c>
      <c r="B12" s="3">
        <v>0</v>
      </c>
      <c r="C12" s="3">
        <v>0</v>
      </c>
      <c r="D12" s="3">
        <v>1</v>
      </c>
      <c r="E12" s="3">
        <v>0</v>
      </c>
      <c r="F12" s="3">
        <v>0</v>
      </c>
      <c r="G12" s="3">
        <v>0</v>
      </c>
      <c r="H12" s="3">
        <v>0</v>
      </c>
      <c r="I12" s="3">
        <v>0</v>
      </c>
      <c r="J12" s="3">
        <v>0</v>
      </c>
      <c r="K12" s="3">
        <v>0</v>
      </c>
      <c r="L12" s="3">
        <v>0</v>
      </c>
      <c r="M12" s="3">
        <v>0</v>
      </c>
      <c r="N12" s="3">
        <v>0</v>
      </c>
      <c r="O12" s="3">
        <v>0</v>
      </c>
      <c r="P12" s="3">
        <v>0</v>
      </c>
      <c r="Q12" s="3">
        <v>0</v>
      </c>
      <c r="R12" s="3">
        <v>0</v>
      </c>
      <c r="S12" s="3">
        <v>0</v>
      </c>
      <c r="T12" s="6">
        <f t="shared" si="0"/>
        <v>1</v>
      </c>
    </row>
    <row r="13" spans="1:20" ht="12.75">
      <c r="A13" t="s">
        <v>540</v>
      </c>
      <c r="B13" s="3">
        <v>2</v>
      </c>
      <c r="C13" s="3">
        <v>0</v>
      </c>
      <c r="D13" s="3">
        <v>2</v>
      </c>
      <c r="E13" s="3">
        <v>0</v>
      </c>
      <c r="F13" s="3">
        <v>0</v>
      </c>
      <c r="G13" s="3">
        <v>0</v>
      </c>
      <c r="H13" s="3">
        <v>0</v>
      </c>
      <c r="I13" s="3">
        <v>0</v>
      </c>
      <c r="J13" s="3">
        <v>0</v>
      </c>
      <c r="K13" s="3">
        <v>0</v>
      </c>
      <c r="L13" s="3">
        <v>0</v>
      </c>
      <c r="M13" s="3">
        <v>0</v>
      </c>
      <c r="N13" s="3">
        <v>0</v>
      </c>
      <c r="O13" s="3">
        <v>0</v>
      </c>
      <c r="P13" s="3">
        <v>0</v>
      </c>
      <c r="Q13" s="3">
        <v>0</v>
      </c>
      <c r="R13" s="3">
        <v>0</v>
      </c>
      <c r="S13" s="3">
        <v>0</v>
      </c>
      <c r="T13" s="6">
        <f t="shared" si="0"/>
        <v>4</v>
      </c>
    </row>
    <row r="14" spans="1:20" ht="12.75">
      <c r="A14" t="s">
        <v>543</v>
      </c>
      <c r="B14" s="3">
        <v>0</v>
      </c>
      <c r="C14" s="3">
        <v>0</v>
      </c>
      <c r="D14" s="3">
        <v>0</v>
      </c>
      <c r="E14" s="3">
        <v>1</v>
      </c>
      <c r="F14" s="3">
        <v>0</v>
      </c>
      <c r="G14" s="3">
        <v>0</v>
      </c>
      <c r="H14" s="3">
        <v>0</v>
      </c>
      <c r="I14" s="3">
        <v>0</v>
      </c>
      <c r="J14" s="3">
        <v>0</v>
      </c>
      <c r="K14" s="3">
        <v>0</v>
      </c>
      <c r="L14" s="3">
        <v>0</v>
      </c>
      <c r="M14" s="3">
        <v>0</v>
      </c>
      <c r="N14" s="3">
        <v>0</v>
      </c>
      <c r="O14" s="3">
        <v>0</v>
      </c>
      <c r="P14" s="3">
        <v>0</v>
      </c>
      <c r="Q14" s="3">
        <v>0</v>
      </c>
      <c r="R14" s="3">
        <v>0</v>
      </c>
      <c r="S14" s="3">
        <v>0</v>
      </c>
      <c r="T14" s="6">
        <f t="shared" si="0"/>
        <v>1</v>
      </c>
    </row>
    <row r="15" spans="1:20" ht="12.75">
      <c r="A15" t="s">
        <v>545</v>
      </c>
      <c r="B15" s="3">
        <v>0</v>
      </c>
      <c r="C15" s="3">
        <v>0</v>
      </c>
      <c r="D15" s="3">
        <v>0</v>
      </c>
      <c r="E15" s="3">
        <v>0</v>
      </c>
      <c r="F15" s="3">
        <v>0</v>
      </c>
      <c r="G15" s="3">
        <v>0</v>
      </c>
      <c r="H15" s="3">
        <v>0</v>
      </c>
      <c r="I15" s="3">
        <v>0</v>
      </c>
      <c r="J15" s="3">
        <v>0</v>
      </c>
      <c r="K15" s="3">
        <v>0</v>
      </c>
      <c r="L15" s="3">
        <v>0</v>
      </c>
      <c r="M15" s="3">
        <v>0</v>
      </c>
      <c r="N15" s="3">
        <v>0</v>
      </c>
      <c r="O15" s="3">
        <v>0</v>
      </c>
      <c r="P15" s="3">
        <v>0</v>
      </c>
      <c r="Q15" s="3">
        <v>0</v>
      </c>
      <c r="R15" s="3">
        <v>1</v>
      </c>
      <c r="S15" s="3">
        <v>0</v>
      </c>
      <c r="T15" s="6">
        <f t="shared" si="0"/>
        <v>1</v>
      </c>
    </row>
    <row r="16" spans="1:20" ht="12.75">
      <c r="A16" t="s">
        <v>745</v>
      </c>
      <c r="B16" s="3">
        <v>0</v>
      </c>
      <c r="C16" s="3">
        <v>0</v>
      </c>
      <c r="D16" s="3">
        <v>0</v>
      </c>
      <c r="E16" s="3">
        <v>0</v>
      </c>
      <c r="F16" s="3">
        <v>0</v>
      </c>
      <c r="G16" s="3">
        <v>0</v>
      </c>
      <c r="H16" s="3">
        <v>0</v>
      </c>
      <c r="I16" s="3">
        <v>0</v>
      </c>
      <c r="J16" s="3">
        <v>0</v>
      </c>
      <c r="K16" s="3">
        <v>0</v>
      </c>
      <c r="L16" s="3">
        <v>0</v>
      </c>
      <c r="M16" s="3">
        <v>0</v>
      </c>
      <c r="N16" s="3">
        <v>0</v>
      </c>
      <c r="O16" s="3">
        <v>0</v>
      </c>
      <c r="P16" s="3">
        <v>0</v>
      </c>
      <c r="Q16" s="3">
        <v>0</v>
      </c>
      <c r="R16" s="3">
        <v>1</v>
      </c>
      <c r="S16" s="3">
        <v>0</v>
      </c>
      <c r="T16" s="6">
        <f t="shared" si="0"/>
        <v>1</v>
      </c>
    </row>
    <row r="17" spans="1:20" ht="12.75">
      <c r="A17" t="s">
        <v>548</v>
      </c>
      <c r="B17" s="3">
        <v>2</v>
      </c>
      <c r="C17" s="3">
        <v>0</v>
      </c>
      <c r="D17" s="3">
        <v>2</v>
      </c>
      <c r="E17" s="3">
        <v>0</v>
      </c>
      <c r="F17" s="3">
        <v>0</v>
      </c>
      <c r="G17" s="3">
        <v>0</v>
      </c>
      <c r="H17" s="3">
        <v>1</v>
      </c>
      <c r="I17" s="3">
        <v>0</v>
      </c>
      <c r="J17" s="3">
        <v>0</v>
      </c>
      <c r="K17" s="3">
        <v>0</v>
      </c>
      <c r="L17" s="3">
        <v>0</v>
      </c>
      <c r="M17" s="3">
        <v>0</v>
      </c>
      <c r="N17" s="3">
        <v>0</v>
      </c>
      <c r="O17" s="3">
        <v>0</v>
      </c>
      <c r="P17" s="3">
        <v>0</v>
      </c>
      <c r="Q17" s="3">
        <v>0</v>
      </c>
      <c r="R17" s="3">
        <v>0</v>
      </c>
      <c r="S17" s="3">
        <v>0</v>
      </c>
      <c r="T17" s="6">
        <f t="shared" si="0"/>
        <v>5</v>
      </c>
    </row>
    <row r="18" spans="1:20" ht="12.75">
      <c r="A18" t="s">
        <v>555</v>
      </c>
      <c r="B18" s="3">
        <v>0</v>
      </c>
      <c r="C18" s="3">
        <v>0</v>
      </c>
      <c r="D18" s="3">
        <v>1</v>
      </c>
      <c r="E18" s="3">
        <v>3</v>
      </c>
      <c r="F18" s="3">
        <v>0</v>
      </c>
      <c r="G18" s="3">
        <v>0</v>
      </c>
      <c r="H18" s="3">
        <v>0</v>
      </c>
      <c r="I18" s="3">
        <v>0</v>
      </c>
      <c r="J18" s="3">
        <v>0</v>
      </c>
      <c r="K18" s="3">
        <v>0</v>
      </c>
      <c r="L18" s="3">
        <v>0</v>
      </c>
      <c r="M18" s="3">
        <v>0</v>
      </c>
      <c r="N18" s="3">
        <v>0</v>
      </c>
      <c r="O18" s="3">
        <v>0</v>
      </c>
      <c r="P18" s="3">
        <v>0</v>
      </c>
      <c r="Q18" s="3">
        <v>0</v>
      </c>
      <c r="R18" s="3">
        <v>0</v>
      </c>
      <c r="S18" s="3">
        <v>0</v>
      </c>
      <c r="T18" s="6">
        <f t="shared" si="0"/>
        <v>4</v>
      </c>
    </row>
    <row r="19" spans="1:20" ht="12.75">
      <c r="A19" t="s">
        <v>556</v>
      </c>
      <c r="B19" s="3">
        <v>3</v>
      </c>
      <c r="C19" s="3">
        <v>2</v>
      </c>
      <c r="D19" s="3">
        <v>11</v>
      </c>
      <c r="E19" s="3">
        <v>29</v>
      </c>
      <c r="F19" s="3">
        <v>0</v>
      </c>
      <c r="G19" s="3">
        <v>0</v>
      </c>
      <c r="H19" s="3">
        <v>6</v>
      </c>
      <c r="I19" s="3">
        <v>18</v>
      </c>
      <c r="J19" s="3">
        <v>0</v>
      </c>
      <c r="K19" s="3">
        <v>0</v>
      </c>
      <c r="L19" s="3">
        <v>0</v>
      </c>
      <c r="M19" s="3">
        <v>0</v>
      </c>
      <c r="N19" s="3">
        <v>0</v>
      </c>
      <c r="O19" s="3">
        <v>0</v>
      </c>
      <c r="P19" s="3">
        <v>0</v>
      </c>
      <c r="Q19" s="3">
        <v>0</v>
      </c>
      <c r="R19" s="3">
        <v>2</v>
      </c>
      <c r="S19" s="3">
        <v>1</v>
      </c>
      <c r="T19" s="6">
        <f t="shared" si="0"/>
        <v>72</v>
      </c>
    </row>
    <row r="20" spans="1:20" ht="12.75">
      <c r="A20" t="s">
        <v>558</v>
      </c>
      <c r="B20" s="3">
        <v>1</v>
      </c>
      <c r="C20" s="3">
        <v>0</v>
      </c>
      <c r="D20" s="3">
        <v>0</v>
      </c>
      <c r="E20" s="3">
        <v>0</v>
      </c>
      <c r="F20" s="3">
        <v>0</v>
      </c>
      <c r="G20" s="3">
        <v>0</v>
      </c>
      <c r="H20" s="3">
        <v>0</v>
      </c>
      <c r="I20" s="3">
        <v>0</v>
      </c>
      <c r="J20" s="3">
        <v>0</v>
      </c>
      <c r="K20" s="3">
        <v>0</v>
      </c>
      <c r="L20" s="3">
        <v>0</v>
      </c>
      <c r="M20" s="3">
        <v>0</v>
      </c>
      <c r="N20" s="3">
        <v>0</v>
      </c>
      <c r="O20" s="3">
        <v>0</v>
      </c>
      <c r="P20" s="3">
        <v>0</v>
      </c>
      <c r="Q20" s="3">
        <v>0</v>
      </c>
      <c r="R20" s="3">
        <v>0</v>
      </c>
      <c r="S20" s="3">
        <v>0</v>
      </c>
      <c r="T20" s="6">
        <f t="shared" si="0"/>
        <v>1</v>
      </c>
    </row>
    <row r="21" spans="1:20" ht="12.75">
      <c r="A21" t="s">
        <v>559</v>
      </c>
      <c r="B21" s="3">
        <v>0</v>
      </c>
      <c r="C21" s="3">
        <v>1</v>
      </c>
      <c r="D21" s="3">
        <v>4</v>
      </c>
      <c r="E21" s="3">
        <v>3</v>
      </c>
      <c r="F21" s="3">
        <v>0</v>
      </c>
      <c r="G21" s="3">
        <v>0</v>
      </c>
      <c r="H21" s="3">
        <v>0</v>
      </c>
      <c r="I21" s="3">
        <v>1</v>
      </c>
      <c r="J21" s="3">
        <v>0</v>
      </c>
      <c r="K21" s="3">
        <v>0</v>
      </c>
      <c r="L21" s="3">
        <v>0</v>
      </c>
      <c r="M21" s="3">
        <v>0</v>
      </c>
      <c r="N21" s="3">
        <v>0</v>
      </c>
      <c r="O21" s="3">
        <v>0</v>
      </c>
      <c r="P21" s="3">
        <v>0</v>
      </c>
      <c r="Q21" s="3">
        <v>0</v>
      </c>
      <c r="R21" s="3">
        <v>0</v>
      </c>
      <c r="S21" s="3">
        <v>0</v>
      </c>
      <c r="T21" s="6">
        <f t="shared" si="0"/>
        <v>9</v>
      </c>
    </row>
    <row r="22" spans="1:20" ht="12.75">
      <c r="A22" t="s">
        <v>560</v>
      </c>
      <c r="B22" s="3">
        <v>0</v>
      </c>
      <c r="C22" s="3">
        <v>0</v>
      </c>
      <c r="D22" s="3">
        <v>0</v>
      </c>
      <c r="E22" s="3">
        <v>0</v>
      </c>
      <c r="F22" s="3">
        <v>0</v>
      </c>
      <c r="G22" s="3">
        <v>0</v>
      </c>
      <c r="H22" s="3">
        <v>0</v>
      </c>
      <c r="I22" s="3">
        <v>0</v>
      </c>
      <c r="J22" s="3">
        <v>0</v>
      </c>
      <c r="K22" s="3">
        <v>0</v>
      </c>
      <c r="L22" s="3">
        <v>0</v>
      </c>
      <c r="M22" s="3">
        <v>0</v>
      </c>
      <c r="N22" s="3">
        <v>0</v>
      </c>
      <c r="O22" s="3">
        <v>0</v>
      </c>
      <c r="P22" s="3">
        <v>1</v>
      </c>
      <c r="Q22" s="3">
        <v>0</v>
      </c>
      <c r="R22" s="3">
        <v>0</v>
      </c>
      <c r="S22" s="3">
        <v>0</v>
      </c>
      <c r="T22" s="6">
        <f t="shared" si="0"/>
        <v>1</v>
      </c>
    </row>
    <row r="23" spans="1:20" ht="12.75">
      <c r="A23" t="s">
        <v>561</v>
      </c>
      <c r="B23" s="3">
        <v>2</v>
      </c>
      <c r="C23" s="3">
        <v>0</v>
      </c>
      <c r="D23" s="3">
        <v>1</v>
      </c>
      <c r="E23" s="3">
        <v>0</v>
      </c>
      <c r="F23" s="3">
        <v>0</v>
      </c>
      <c r="G23" s="3">
        <v>0</v>
      </c>
      <c r="H23" s="3">
        <v>1</v>
      </c>
      <c r="I23" s="3">
        <v>0</v>
      </c>
      <c r="J23" s="3">
        <v>0</v>
      </c>
      <c r="K23" s="3">
        <v>0</v>
      </c>
      <c r="L23" s="3">
        <v>0</v>
      </c>
      <c r="M23" s="3">
        <v>0</v>
      </c>
      <c r="N23" s="3">
        <v>0</v>
      </c>
      <c r="O23" s="3">
        <v>0</v>
      </c>
      <c r="P23" s="3">
        <v>0</v>
      </c>
      <c r="Q23" s="3">
        <v>0</v>
      </c>
      <c r="R23" s="3">
        <v>0</v>
      </c>
      <c r="S23" s="3">
        <v>0</v>
      </c>
      <c r="T23" s="6">
        <f t="shared" si="0"/>
        <v>4</v>
      </c>
    </row>
    <row r="24" spans="1:20" ht="12.75">
      <c r="A24" t="s">
        <v>563</v>
      </c>
      <c r="B24" s="3">
        <v>0</v>
      </c>
      <c r="C24" s="3">
        <v>1</v>
      </c>
      <c r="D24" s="3">
        <v>1</v>
      </c>
      <c r="E24" s="3">
        <v>4</v>
      </c>
      <c r="F24" s="3">
        <v>0</v>
      </c>
      <c r="G24" s="3">
        <v>0</v>
      </c>
      <c r="H24" s="3">
        <v>1</v>
      </c>
      <c r="I24" s="3">
        <v>0</v>
      </c>
      <c r="J24" s="3">
        <v>0</v>
      </c>
      <c r="K24" s="3">
        <v>0</v>
      </c>
      <c r="L24" s="3">
        <v>0</v>
      </c>
      <c r="M24" s="3">
        <v>0</v>
      </c>
      <c r="N24" s="3">
        <v>0</v>
      </c>
      <c r="O24" s="3">
        <v>0</v>
      </c>
      <c r="P24" s="3">
        <v>0</v>
      </c>
      <c r="Q24" s="3">
        <v>0</v>
      </c>
      <c r="R24" s="3">
        <v>0</v>
      </c>
      <c r="S24" s="3">
        <v>1</v>
      </c>
      <c r="T24" s="6">
        <f t="shared" si="0"/>
        <v>8</v>
      </c>
    </row>
    <row r="25" spans="1:20" ht="12.75">
      <c r="A25" t="s">
        <v>746</v>
      </c>
      <c r="B25" s="3">
        <v>0</v>
      </c>
      <c r="C25" s="3">
        <v>0</v>
      </c>
      <c r="D25" s="3">
        <v>0</v>
      </c>
      <c r="E25" s="3">
        <v>1</v>
      </c>
      <c r="F25" s="3">
        <v>0</v>
      </c>
      <c r="G25" s="3">
        <v>0</v>
      </c>
      <c r="H25" s="3">
        <v>0</v>
      </c>
      <c r="I25" s="3">
        <v>0</v>
      </c>
      <c r="J25" s="3">
        <v>0</v>
      </c>
      <c r="K25" s="3">
        <v>0</v>
      </c>
      <c r="L25" s="3">
        <v>0</v>
      </c>
      <c r="M25" s="3">
        <v>0</v>
      </c>
      <c r="N25" s="3">
        <v>0</v>
      </c>
      <c r="O25" s="3">
        <v>0</v>
      </c>
      <c r="P25" s="3">
        <v>0</v>
      </c>
      <c r="Q25" s="3">
        <v>0</v>
      </c>
      <c r="R25" s="3">
        <v>0</v>
      </c>
      <c r="S25" s="3">
        <v>0</v>
      </c>
      <c r="T25" s="6">
        <f t="shared" si="0"/>
        <v>1</v>
      </c>
    </row>
    <row r="26" spans="1:20" ht="12.75">
      <c r="A26" t="s">
        <v>567</v>
      </c>
      <c r="B26" s="3">
        <v>0</v>
      </c>
      <c r="C26" s="3">
        <v>0</v>
      </c>
      <c r="D26" s="3">
        <v>0</v>
      </c>
      <c r="E26" s="3">
        <v>0</v>
      </c>
      <c r="F26" s="3">
        <v>0</v>
      </c>
      <c r="G26" s="3">
        <v>0</v>
      </c>
      <c r="H26" s="3">
        <v>0</v>
      </c>
      <c r="I26" s="3">
        <v>0</v>
      </c>
      <c r="J26" s="3">
        <v>0</v>
      </c>
      <c r="K26" s="3">
        <v>0</v>
      </c>
      <c r="L26" s="3">
        <v>0</v>
      </c>
      <c r="M26" s="3">
        <v>0</v>
      </c>
      <c r="N26" s="3">
        <v>0</v>
      </c>
      <c r="O26" s="3">
        <v>0</v>
      </c>
      <c r="P26" s="3">
        <v>0</v>
      </c>
      <c r="Q26" s="3">
        <v>0</v>
      </c>
      <c r="R26" s="3">
        <v>1</v>
      </c>
      <c r="S26" s="3">
        <v>0</v>
      </c>
      <c r="T26" s="6">
        <f t="shared" si="0"/>
        <v>1</v>
      </c>
    </row>
    <row r="27" spans="1:20" ht="12.75">
      <c r="A27" t="s">
        <v>570</v>
      </c>
      <c r="B27" s="3">
        <v>0</v>
      </c>
      <c r="C27" s="3">
        <v>1</v>
      </c>
      <c r="D27" s="3">
        <v>0</v>
      </c>
      <c r="E27" s="3">
        <v>0</v>
      </c>
      <c r="F27" s="3">
        <v>0</v>
      </c>
      <c r="G27" s="3">
        <v>0</v>
      </c>
      <c r="H27" s="3">
        <v>0</v>
      </c>
      <c r="I27" s="3">
        <v>0</v>
      </c>
      <c r="J27" s="3">
        <v>0</v>
      </c>
      <c r="K27" s="3">
        <v>0</v>
      </c>
      <c r="L27" s="3">
        <v>0</v>
      </c>
      <c r="M27" s="3">
        <v>0</v>
      </c>
      <c r="N27" s="3">
        <v>0</v>
      </c>
      <c r="O27" s="3">
        <v>0</v>
      </c>
      <c r="P27" s="3">
        <v>0</v>
      </c>
      <c r="Q27" s="3">
        <v>0</v>
      </c>
      <c r="R27" s="3">
        <v>0</v>
      </c>
      <c r="S27" s="3">
        <v>0</v>
      </c>
      <c r="T27" s="6">
        <f t="shared" si="0"/>
        <v>1</v>
      </c>
    </row>
    <row r="28" spans="1:20" ht="12.75">
      <c r="A28" t="s">
        <v>571</v>
      </c>
      <c r="B28" s="3">
        <v>0</v>
      </c>
      <c r="C28" s="3">
        <v>3</v>
      </c>
      <c r="D28" s="3">
        <v>0</v>
      </c>
      <c r="E28" s="3">
        <v>3</v>
      </c>
      <c r="F28" s="3">
        <v>0</v>
      </c>
      <c r="G28" s="3">
        <v>0</v>
      </c>
      <c r="H28" s="3">
        <v>0</v>
      </c>
      <c r="I28" s="3">
        <v>0</v>
      </c>
      <c r="J28" s="3">
        <v>0</v>
      </c>
      <c r="K28" s="3">
        <v>0</v>
      </c>
      <c r="L28" s="3">
        <v>0</v>
      </c>
      <c r="M28" s="3">
        <v>0</v>
      </c>
      <c r="N28" s="3">
        <v>0</v>
      </c>
      <c r="O28" s="3">
        <v>0</v>
      </c>
      <c r="P28" s="3">
        <v>0</v>
      </c>
      <c r="Q28" s="3">
        <v>0</v>
      </c>
      <c r="R28" s="3">
        <v>0</v>
      </c>
      <c r="S28" s="3">
        <v>0</v>
      </c>
      <c r="T28" s="6">
        <f t="shared" si="0"/>
        <v>6</v>
      </c>
    </row>
    <row r="29" spans="1:20" ht="12.75">
      <c r="A29" t="s">
        <v>574</v>
      </c>
      <c r="B29" s="3">
        <v>0</v>
      </c>
      <c r="C29" s="3">
        <v>0</v>
      </c>
      <c r="D29" s="3">
        <v>0</v>
      </c>
      <c r="E29" s="3">
        <v>1</v>
      </c>
      <c r="F29" s="3">
        <v>0</v>
      </c>
      <c r="G29" s="3">
        <v>0</v>
      </c>
      <c r="H29" s="3">
        <v>0</v>
      </c>
      <c r="I29" s="3">
        <v>0</v>
      </c>
      <c r="J29" s="3">
        <v>0</v>
      </c>
      <c r="K29" s="3">
        <v>0</v>
      </c>
      <c r="L29" s="3">
        <v>0</v>
      </c>
      <c r="M29" s="3">
        <v>0</v>
      </c>
      <c r="N29" s="3">
        <v>0</v>
      </c>
      <c r="O29" s="3">
        <v>0</v>
      </c>
      <c r="P29" s="3">
        <v>0</v>
      </c>
      <c r="Q29" s="3">
        <v>0</v>
      </c>
      <c r="R29" s="3">
        <v>0</v>
      </c>
      <c r="S29" s="3">
        <v>0</v>
      </c>
      <c r="T29" s="6">
        <f t="shared" si="0"/>
        <v>1</v>
      </c>
    </row>
    <row r="30" spans="1:20" ht="12.75">
      <c r="A30" t="s">
        <v>578</v>
      </c>
      <c r="B30" s="3">
        <v>2</v>
      </c>
      <c r="C30" s="3">
        <v>0</v>
      </c>
      <c r="D30" s="3">
        <v>1</v>
      </c>
      <c r="E30" s="3">
        <v>1</v>
      </c>
      <c r="F30" s="3">
        <v>0</v>
      </c>
      <c r="G30" s="3">
        <v>0</v>
      </c>
      <c r="H30" s="3">
        <v>3</v>
      </c>
      <c r="I30" s="3">
        <v>1</v>
      </c>
      <c r="J30" s="3">
        <v>0</v>
      </c>
      <c r="K30" s="3">
        <v>0</v>
      </c>
      <c r="L30" s="3">
        <v>0</v>
      </c>
      <c r="M30" s="3">
        <v>0</v>
      </c>
      <c r="N30" s="3">
        <v>0</v>
      </c>
      <c r="O30" s="3">
        <v>0</v>
      </c>
      <c r="P30" s="3">
        <v>0</v>
      </c>
      <c r="Q30" s="3">
        <v>0</v>
      </c>
      <c r="R30" s="3">
        <v>0</v>
      </c>
      <c r="S30" s="3">
        <v>0</v>
      </c>
      <c r="T30" s="6">
        <f t="shared" si="0"/>
        <v>8</v>
      </c>
    </row>
    <row r="31" spans="1:20" ht="12.75">
      <c r="A31" t="s">
        <v>579</v>
      </c>
      <c r="B31" s="3">
        <v>2</v>
      </c>
      <c r="C31" s="3">
        <v>0</v>
      </c>
      <c r="D31" s="3">
        <v>1</v>
      </c>
      <c r="E31" s="3">
        <v>0</v>
      </c>
      <c r="F31" s="3">
        <v>0</v>
      </c>
      <c r="G31" s="3">
        <v>0</v>
      </c>
      <c r="H31" s="3">
        <v>0</v>
      </c>
      <c r="I31" s="3">
        <v>0</v>
      </c>
      <c r="J31" s="3">
        <v>0</v>
      </c>
      <c r="K31" s="3">
        <v>0</v>
      </c>
      <c r="L31" s="3">
        <v>0</v>
      </c>
      <c r="M31" s="3">
        <v>0</v>
      </c>
      <c r="N31" s="3">
        <v>0</v>
      </c>
      <c r="O31" s="3">
        <v>0</v>
      </c>
      <c r="P31" s="3">
        <v>0</v>
      </c>
      <c r="Q31" s="3">
        <v>0</v>
      </c>
      <c r="R31" s="3">
        <v>0</v>
      </c>
      <c r="S31" s="3">
        <v>0</v>
      </c>
      <c r="T31" s="6">
        <f t="shared" si="0"/>
        <v>3</v>
      </c>
    </row>
    <row r="32" spans="1:20" ht="12.75">
      <c r="A32" t="s">
        <v>581</v>
      </c>
      <c r="B32" s="3">
        <v>0</v>
      </c>
      <c r="C32" s="3">
        <v>1</v>
      </c>
      <c r="D32" s="3">
        <v>1</v>
      </c>
      <c r="E32" s="3">
        <v>1</v>
      </c>
      <c r="F32" s="3">
        <v>0</v>
      </c>
      <c r="G32" s="3">
        <v>0</v>
      </c>
      <c r="H32" s="3">
        <v>0</v>
      </c>
      <c r="I32" s="3">
        <v>0</v>
      </c>
      <c r="J32" s="3">
        <v>0</v>
      </c>
      <c r="K32" s="3">
        <v>0</v>
      </c>
      <c r="L32" s="3">
        <v>0</v>
      </c>
      <c r="M32" s="3">
        <v>0</v>
      </c>
      <c r="N32" s="3">
        <v>0</v>
      </c>
      <c r="O32" s="3">
        <v>0</v>
      </c>
      <c r="P32" s="3">
        <v>0</v>
      </c>
      <c r="Q32" s="3">
        <v>0</v>
      </c>
      <c r="R32" s="3">
        <v>0</v>
      </c>
      <c r="S32" s="3">
        <v>0</v>
      </c>
      <c r="T32" s="6">
        <f t="shared" si="0"/>
        <v>3</v>
      </c>
    </row>
    <row r="33" spans="1:20" ht="12.75">
      <c r="A33" t="s">
        <v>584</v>
      </c>
      <c r="B33" s="3">
        <v>2</v>
      </c>
      <c r="C33" s="3">
        <v>0</v>
      </c>
      <c r="D33" s="3">
        <v>2</v>
      </c>
      <c r="E33" s="3">
        <v>1</v>
      </c>
      <c r="F33" s="3">
        <v>0</v>
      </c>
      <c r="G33" s="3">
        <v>0</v>
      </c>
      <c r="H33" s="3">
        <v>0</v>
      </c>
      <c r="I33" s="3">
        <v>0</v>
      </c>
      <c r="J33" s="3">
        <v>0</v>
      </c>
      <c r="K33" s="3">
        <v>0</v>
      </c>
      <c r="L33" s="3">
        <v>0</v>
      </c>
      <c r="M33" s="3">
        <v>0</v>
      </c>
      <c r="N33" s="3">
        <v>0</v>
      </c>
      <c r="O33" s="3">
        <v>0</v>
      </c>
      <c r="P33" s="3">
        <v>0</v>
      </c>
      <c r="Q33" s="3">
        <v>1</v>
      </c>
      <c r="R33" s="3">
        <v>0</v>
      </c>
      <c r="S33" s="3">
        <v>0</v>
      </c>
      <c r="T33" s="6">
        <f t="shared" si="0"/>
        <v>6</v>
      </c>
    </row>
    <row r="34" spans="1:20" ht="12.75">
      <c r="A34" t="s">
        <v>585</v>
      </c>
      <c r="B34" s="3">
        <v>1</v>
      </c>
      <c r="C34" s="3">
        <v>0</v>
      </c>
      <c r="D34" s="3">
        <v>1</v>
      </c>
      <c r="E34" s="3">
        <v>8</v>
      </c>
      <c r="F34" s="3">
        <v>0</v>
      </c>
      <c r="G34" s="3">
        <v>0</v>
      </c>
      <c r="H34" s="3">
        <v>1</v>
      </c>
      <c r="I34" s="3">
        <v>0</v>
      </c>
      <c r="J34" s="3">
        <v>0</v>
      </c>
      <c r="K34" s="3">
        <v>0</v>
      </c>
      <c r="L34" s="3">
        <v>0</v>
      </c>
      <c r="M34" s="3">
        <v>0</v>
      </c>
      <c r="N34" s="3">
        <v>0</v>
      </c>
      <c r="O34" s="3">
        <v>0</v>
      </c>
      <c r="P34" s="3">
        <v>0</v>
      </c>
      <c r="Q34" s="3">
        <v>2</v>
      </c>
      <c r="R34" s="3">
        <v>0</v>
      </c>
      <c r="S34" s="3">
        <v>1</v>
      </c>
      <c r="T34" s="6">
        <f t="shared" si="0"/>
        <v>14</v>
      </c>
    </row>
    <row r="35" spans="1:20" ht="12.75">
      <c r="A35" t="s">
        <v>586</v>
      </c>
      <c r="B35" s="3">
        <v>2</v>
      </c>
      <c r="C35" s="3">
        <v>4</v>
      </c>
      <c r="D35" s="3">
        <v>1</v>
      </c>
      <c r="E35" s="3">
        <v>1</v>
      </c>
      <c r="F35" s="3">
        <v>0</v>
      </c>
      <c r="G35" s="3">
        <v>0</v>
      </c>
      <c r="H35" s="3">
        <v>0</v>
      </c>
      <c r="I35" s="3">
        <v>0</v>
      </c>
      <c r="J35" s="3">
        <v>0</v>
      </c>
      <c r="K35" s="3">
        <v>0</v>
      </c>
      <c r="L35" s="3">
        <v>0</v>
      </c>
      <c r="M35" s="3">
        <v>0</v>
      </c>
      <c r="N35" s="3">
        <v>0</v>
      </c>
      <c r="O35" s="3">
        <v>0</v>
      </c>
      <c r="P35" s="3">
        <v>0</v>
      </c>
      <c r="Q35" s="3">
        <v>0</v>
      </c>
      <c r="R35" s="3">
        <v>0</v>
      </c>
      <c r="S35" s="3">
        <v>0</v>
      </c>
      <c r="T35" s="6">
        <f t="shared" si="0"/>
        <v>8</v>
      </c>
    </row>
    <row r="36" spans="1:20" ht="12.75">
      <c r="A36" t="s">
        <v>588</v>
      </c>
      <c r="B36" s="3">
        <v>0</v>
      </c>
      <c r="C36" s="3">
        <v>1</v>
      </c>
      <c r="D36" s="3">
        <v>1</v>
      </c>
      <c r="E36" s="3">
        <v>1</v>
      </c>
      <c r="F36" s="3">
        <v>0</v>
      </c>
      <c r="G36" s="3">
        <v>0</v>
      </c>
      <c r="H36" s="3">
        <v>0</v>
      </c>
      <c r="I36" s="3">
        <v>0</v>
      </c>
      <c r="J36" s="3">
        <v>0</v>
      </c>
      <c r="K36" s="3">
        <v>0</v>
      </c>
      <c r="L36" s="3">
        <v>0</v>
      </c>
      <c r="M36" s="3">
        <v>0</v>
      </c>
      <c r="N36" s="3">
        <v>0</v>
      </c>
      <c r="O36" s="3">
        <v>0</v>
      </c>
      <c r="P36" s="3">
        <v>0</v>
      </c>
      <c r="Q36" s="3">
        <v>0</v>
      </c>
      <c r="R36" s="3">
        <v>0</v>
      </c>
      <c r="S36" s="3">
        <v>0</v>
      </c>
      <c r="T36" s="6">
        <f t="shared" si="0"/>
        <v>3</v>
      </c>
    </row>
    <row r="37" spans="1:20" ht="12.75">
      <c r="A37" s="2" t="s">
        <v>527</v>
      </c>
      <c r="B37" s="6">
        <f aca="true" t="shared" si="1" ref="B37:T37">SUM(B7:B36)</f>
        <v>28</v>
      </c>
      <c r="C37" s="6">
        <f t="shared" si="1"/>
        <v>20</v>
      </c>
      <c r="D37" s="6">
        <f t="shared" si="1"/>
        <v>43</v>
      </c>
      <c r="E37" s="6">
        <f t="shared" si="1"/>
        <v>71</v>
      </c>
      <c r="F37" s="6">
        <f t="shared" si="1"/>
        <v>0</v>
      </c>
      <c r="G37" s="6">
        <f t="shared" si="1"/>
        <v>0</v>
      </c>
      <c r="H37" s="6">
        <f t="shared" si="1"/>
        <v>17</v>
      </c>
      <c r="I37" s="6">
        <f t="shared" si="1"/>
        <v>21</v>
      </c>
      <c r="J37" s="6">
        <f t="shared" si="1"/>
        <v>0</v>
      </c>
      <c r="K37" s="6">
        <f t="shared" si="1"/>
        <v>0</v>
      </c>
      <c r="L37" s="6">
        <f t="shared" si="1"/>
        <v>0</v>
      </c>
      <c r="M37" s="6">
        <f t="shared" si="1"/>
        <v>0</v>
      </c>
      <c r="N37" s="6">
        <f t="shared" si="1"/>
        <v>0</v>
      </c>
      <c r="O37" s="6">
        <f t="shared" si="1"/>
        <v>0</v>
      </c>
      <c r="P37" s="6">
        <f t="shared" si="1"/>
        <v>1</v>
      </c>
      <c r="Q37" s="6">
        <f t="shared" si="1"/>
        <v>3</v>
      </c>
      <c r="R37" s="6">
        <f t="shared" si="1"/>
        <v>7</v>
      </c>
      <c r="S37" s="6">
        <f t="shared" si="1"/>
        <v>6</v>
      </c>
      <c r="T37" s="6">
        <f t="shared" si="1"/>
        <v>217</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T27"/>
  <sheetViews>
    <sheetView zoomScalePageLayoutView="0" workbookViewId="0" topLeftCell="A1">
      <selection activeCell="A1" sqref="A1"/>
    </sheetView>
  </sheetViews>
  <sheetFormatPr defaultColWidth="9.140625" defaultRowHeight="12.75"/>
  <sheetData>
    <row r="1" ht="18">
      <c r="A1" s="1" t="s">
        <v>747</v>
      </c>
    </row>
    <row r="5" spans="2:20" ht="12.75">
      <c r="B5" s="2" t="s">
        <v>748</v>
      </c>
      <c r="D5" s="2" t="s">
        <v>743</v>
      </c>
      <c r="F5" s="2" t="s">
        <v>749</v>
      </c>
      <c r="H5" s="2" t="s">
        <v>750</v>
      </c>
      <c r="J5" s="2" t="s">
        <v>751</v>
      </c>
      <c r="L5" s="2" t="s">
        <v>752</v>
      </c>
      <c r="N5" s="2" t="s">
        <v>753</v>
      </c>
      <c r="P5" s="2" t="s">
        <v>754</v>
      </c>
      <c r="R5" s="2" t="s">
        <v>755</v>
      </c>
      <c r="T5" s="2" t="s">
        <v>641</v>
      </c>
    </row>
    <row r="6" spans="1:19" ht="12.75">
      <c r="A6" s="2" t="s">
        <v>522</v>
      </c>
      <c r="B6" t="s">
        <v>528</v>
      </c>
      <c r="C6" t="s">
        <v>529</v>
      </c>
      <c r="D6" t="s">
        <v>528</v>
      </c>
      <c r="E6" t="s">
        <v>529</v>
      </c>
      <c r="F6" t="s">
        <v>528</v>
      </c>
      <c r="G6" t="s">
        <v>529</v>
      </c>
      <c r="H6" t="s">
        <v>528</v>
      </c>
      <c r="I6" t="s">
        <v>529</v>
      </c>
      <c r="J6" t="s">
        <v>528</v>
      </c>
      <c r="K6" t="s">
        <v>529</v>
      </c>
      <c r="L6" t="s">
        <v>528</v>
      </c>
      <c r="M6" t="s">
        <v>529</v>
      </c>
      <c r="N6" t="s">
        <v>528</v>
      </c>
      <c r="O6" t="s">
        <v>529</v>
      </c>
      <c r="P6" t="s">
        <v>528</v>
      </c>
      <c r="Q6" t="s">
        <v>529</v>
      </c>
      <c r="R6" t="s">
        <v>528</v>
      </c>
      <c r="S6" t="s">
        <v>529</v>
      </c>
    </row>
    <row r="7" spans="1:20" ht="12.75">
      <c r="A7" t="s">
        <v>533</v>
      </c>
      <c r="B7" s="3">
        <v>0</v>
      </c>
      <c r="C7" s="3">
        <v>0</v>
      </c>
      <c r="D7" s="3">
        <v>6</v>
      </c>
      <c r="E7" s="3">
        <v>2</v>
      </c>
      <c r="F7" s="3">
        <v>0</v>
      </c>
      <c r="G7" s="3">
        <v>0</v>
      </c>
      <c r="H7" s="3">
        <v>0</v>
      </c>
      <c r="I7" s="3">
        <v>0</v>
      </c>
      <c r="J7" s="3">
        <v>0</v>
      </c>
      <c r="K7" s="3">
        <v>0</v>
      </c>
      <c r="L7" s="3">
        <v>0</v>
      </c>
      <c r="M7" s="3">
        <v>0</v>
      </c>
      <c r="N7" s="3">
        <v>0</v>
      </c>
      <c r="O7" s="3">
        <v>0</v>
      </c>
      <c r="P7" s="3">
        <v>0</v>
      </c>
      <c r="Q7" s="3">
        <v>0</v>
      </c>
      <c r="R7" s="3">
        <v>0</v>
      </c>
      <c r="S7" s="3">
        <v>0</v>
      </c>
      <c r="T7" s="6">
        <f aca="true" t="shared" si="0" ref="T7:T26">SUM(B7:S7)</f>
        <v>8</v>
      </c>
    </row>
    <row r="8" spans="1:20" ht="12.75">
      <c r="A8" t="s">
        <v>537</v>
      </c>
      <c r="B8" s="3">
        <v>8</v>
      </c>
      <c r="C8" s="3">
        <v>12</v>
      </c>
      <c r="D8" s="3">
        <v>0</v>
      </c>
      <c r="E8" s="3">
        <v>0</v>
      </c>
      <c r="F8" s="3">
        <v>0</v>
      </c>
      <c r="G8" s="3">
        <v>0</v>
      </c>
      <c r="H8" s="3">
        <v>0</v>
      </c>
      <c r="I8" s="3">
        <v>0</v>
      </c>
      <c r="J8" s="3">
        <v>0</v>
      </c>
      <c r="K8" s="3">
        <v>0</v>
      </c>
      <c r="L8" s="3">
        <v>1</v>
      </c>
      <c r="M8" s="3">
        <v>1</v>
      </c>
      <c r="N8" s="3">
        <v>0</v>
      </c>
      <c r="O8" s="3">
        <v>0</v>
      </c>
      <c r="P8" s="3">
        <v>0</v>
      </c>
      <c r="Q8" s="3">
        <v>0</v>
      </c>
      <c r="R8" s="3">
        <v>0</v>
      </c>
      <c r="S8" s="3">
        <v>3</v>
      </c>
      <c r="T8" s="6">
        <f t="shared" si="0"/>
        <v>25</v>
      </c>
    </row>
    <row r="9" spans="1:20" ht="12.75">
      <c r="A9" t="s">
        <v>538</v>
      </c>
      <c r="B9" s="3">
        <v>4</v>
      </c>
      <c r="C9" s="3">
        <v>8</v>
      </c>
      <c r="D9" s="3">
        <v>0</v>
      </c>
      <c r="E9" s="3">
        <v>0</v>
      </c>
      <c r="F9" s="3">
        <v>0</v>
      </c>
      <c r="G9" s="3">
        <v>0</v>
      </c>
      <c r="H9" s="3">
        <v>0</v>
      </c>
      <c r="I9" s="3">
        <v>0</v>
      </c>
      <c r="J9" s="3">
        <v>0</v>
      </c>
      <c r="K9" s="3">
        <v>0</v>
      </c>
      <c r="L9" s="3">
        <v>0</v>
      </c>
      <c r="M9" s="3">
        <v>0</v>
      </c>
      <c r="N9" s="3">
        <v>0</v>
      </c>
      <c r="O9" s="3">
        <v>0</v>
      </c>
      <c r="P9" s="3">
        <v>0</v>
      </c>
      <c r="Q9" s="3">
        <v>4</v>
      </c>
      <c r="R9" s="3">
        <v>0</v>
      </c>
      <c r="S9" s="3">
        <v>1</v>
      </c>
      <c r="T9" s="6">
        <f t="shared" si="0"/>
        <v>17</v>
      </c>
    </row>
    <row r="10" spans="1:20" ht="12.75">
      <c r="A10" t="s">
        <v>540</v>
      </c>
      <c r="B10" s="3">
        <v>0</v>
      </c>
      <c r="C10" s="3">
        <v>0</v>
      </c>
      <c r="D10" s="3">
        <v>0</v>
      </c>
      <c r="E10" s="3">
        <v>0</v>
      </c>
      <c r="F10" s="3">
        <v>0</v>
      </c>
      <c r="G10" s="3">
        <v>0</v>
      </c>
      <c r="H10" s="3">
        <v>0</v>
      </c>
      <c r="I10" s="3">
        <v>0</v>
      </c>
      <c r="J10" s="3">
        <v>0</v>
      </c>
      <c r="K10" s="3">
        <v>0</v>
      </c>
      <c r="L10" s="3">
        <v>0</v>
      </c>
      <c r="M10" s="3">
        <v>0</v>
      </c>
      <c r="N10" s="3">
        <v>0</v>
      </c>
      <c r="O10" s="3">
        <v>0</v>
      </c>
      <c r="P10" s="3">
        <v>0</v>
      </c>
      <c r="Q10" s="3">
        <v>1</v>
      </c>
      <c r="R10" s="3">
        <v>0</v>
      </c>
      <c r="S10" s="3">
        <v>0</v>
      </c>
      <c r="T10" s="6">
        <f t="shared" si="0"/>
        <v>1</v>
      </c>
    </row>
    <row r="11" spans="1:20" ht="12.75">
      <c r="A11" t="s">
        <v>548</v>
      </c>
      <c r="B11" s="3">
        <v>0</v>
      </c>
      <c r="C11" s="3">
        <v>0</v>
      </c>
      <c r="D11" s="3">
        <v>0</v>
      </c>
      <c r="E11" s="3">
        <v>4</v>
      </c>
      <c r="F11" s="3">
        <v>0</v>
      </c>
      <c r="G11" s="3">
        <v>0</v>
      </c>
      <c r="H11" s="3">
        <v>0</v>
      </c>
      <c r="I11" s="3">
        <v>0</v>
      </c>
      <c r="J11" s="3">
        <v>0</v>
      </c>
      <c r="K11" s="3">
        <v>0</v>
      </c>
      <c r="L11" s="3">
        <v>0</v>
      </c>
      <c r="M11" s="3">
        <v>0</v>
      </c>
      <c r="N11" s="3">
        <v>0</v>
      </c>
      <c r="O11" s="3">
        <v>0</v>
      </c>
      <c r="P11" s="3">
        <v>0</v>
      </c>
      <c r="Q11" s="3">
        <v>0</v>
      </c>
      <c r="R11" s="3">
        <v>0</v>
      </c>
      <c r="S11" s="3">
        <v>0</v>
      </c>
      <c r="T11" s="6">
        <f t="shared" si="0"/>
        <v>4</v>
      </c>
    </row>
    <row r="12" spans="1:20" ht="12.75">
      <c r="A12" t="s">
        <v>552</v>
      </c>
      <c r="B12" s="3">
        <v>0</v>
      </c>
      <c r="C12" s="3">
        <v>1</v>
      </c>
      <c r="D12" s="3">
        <v>0</v>
      </c>
      <c r="E12" s="3">
        <v>0</v>
      </c>
      <c r="F12" s="3">
        <v>0</v>
      </c>
      <c r="G12" s="3">
        <v>0</v>
      </c>
      <c r="H12" s="3">
        <v>0</v>
      </c>
      <c r="I12" s="3">
        <v>0</v>
      </c>
      <c r="J12" s="3">
        <v>0</v>
      </c>
      <c r="K12" s="3">
        <v>0</v>
      </c>
      <c r="L12" s="3">
        <v>0</v>
      </c>
      <c r="M12" s="3">
        <v>0</v>
      </c>
      <c r="N12" s="3">
        <v>0</v>
      </c>
      <c r="O12" s="3">
        <v>0</v>
      </c>
      <c r="P12" s="3">
        <v>0</v>
      </c>
      <c r="Q12" s="3">
        <v>0</v>
      </c>
      <c r="R12" s="3">
        <v>0</v>
      </c>
      <c r="S12" s="3">
        <v>0</v>
      </c>
      <c r="T12" s="6">
        <f t="shared" si="0"/>
        <v>1</v>
      </c>
    </row>
    <row r="13" spans="1:20" ht="12.75">
      <c r="A13" t="s">
        <v>554</v>
      </c>
      <c r="B13" s="3">
        <v>1</v>
      </c>
      <c r="C13" s="3">
        <v>0</v>
      </c>
      <c r="D13" s="3">
        <v>0</v>
      </c>
      <c r="E13" s="3">
        <v>0</v>
      </c>
      <c r="F13" s="3">
        <v>0</v>
      </c>
      <c r="G13" s="3">
        <v>0</v>
      </c>
      <c r="H13" s="3">
        <v>0</v>
      </c>
      <c r="I13" s="3">
        <v>0</v>
      </c>
      <c r="J13" s="3">
        <v>0</v>
      </c>
      <c r="K13" s="3">
        <v>0</v>
      </c>
      <c r="L13" s="3">
        <v>0</v>
      </c>
      <c r="M13" s="3">
        <v>0</v>
      </c>
      <c r="N13" s="3">
        <v>0</v>
      </c>
      <c r="O13" s="3">
        <v>0</v>
      </c>
      <c r="P13" s="3">
        <v>0</v>
      </c>
      <c r="Q13" s="3">
        <v>0</v>
      </c>
      <c r="R13" s="3">
        <v>0</v>
      </c>
      <c r="S13" s="3">
        <v>0</v>
      </c>
      <c r="T13" s="6">
        <f t="shared" si="0"/>
        <v>1</v>
      </c>
    </row>
    <row r="14" spans="1:20" ht="12.75">
      <c r="A14" t="s">
        <v>556</v>
      </c>
      <c r="B14" s="3">
        <v>6</v>
      </c>
      <c r="C14" s="3">
        <v>25</v>
      </c>
      <c r="D14" s="3">
        <v>0</v>
      </c>
      <c r="E14" s="3">
        <v>0</v>
      </c>
      <c r="F14" s="3">
        <v>0</v>
      </c>
      <c r="G14" s="3">
        <v>0</v>
      </c>
      <c r="H14" s="3">
        <v>0</v>
      </c>
      <c r="I14" s="3">
        <v>0</v>
      </c>
      <c r="J14" s="3">
        <v>0</v>
      </c>
      <c r="K14" s="3">
        <v>0</v>
      </c>
      <c r="L14" s="3">
        <v>10</v>
      </c>
      <c r="M14" s="3">
        <v>12</v>
      </c>
      <c r="N14" s="3">
        <v>0</v>
      </c>
      <c r="O14" s="3">
        <v>0</v>
      </c>
      <c r="P14" s="3">
        <v>2</v>
      </c>
      <c r="Q14" s="3">
        <v>10</v>
      </c>
      <c r="R14" s="3">
        <v>4</v>
      </c>
      <c r="S14" s="3">
        <v>17</v>
      </c>
      <c r="T14" s="6">
        <f t="shared" si="0"/>
        <v>86</v>
      </c>
    </row>
    <row r="15" spans="1:20" ht="12.75">
      <c r="A15" t="s">
        <v>559</v>
      </c>
      <c r="B15" s="3">
        <v>0</v>
      </c>
      <c r="C15" s="3">
        <v>1</v>
      </c>
      <c r="D15" s="3">
        <v>3</v>
      </c>
      <c r="E15" s="3">
        <v>3</v>
      </c>
      <c r="F15" s="3">
        <v>0</v>
      </c>
      <c r="G15" s="3">
        <v>0</v>
      </c>
      <c r="H15" s="3">
        <v>0</v>
      </c>
      <c r="I15" s="3">
        <v>0</v>
      </c>
      <c r="J15" s="3">
        <v>0</v>
      </c>
      <c r="K15" s="3">
        <v>0</v>
      </c>
      <c r="L15" s="3">
        <v>3</v>
      </c>
      <c r="M15" s="3">
        <v>2</v>
      </c>
      <c r="N15" s="3">
        <v>0</v>
      </c>
      <c r="O15" s="3">
        <v>0</v>
      </c>
      <c r="P15" s="3">
        <v>0</v>
      </c>
      <c r="Q15" s="3">
        <v>0</v>
      </c>
      <c r="R15" s="3">
        <v>0</v>
      </c>
      <c r="S15" s="3">
        <v>0</v>
      </c>
      <c r="T15" s="6">
        <f t="shared" si="0"/>
        <v>12</v>
      </c>
    </row>
    <row r="16" spans="1:20" ht="12.75">
      <c r="A16" t="s">
        <v>561</v>
      </c>
      <c r="B16" s="3">
        <v>2</v>
      </c>
      <c r="C16" s="3">
        <v>0</v>
      </c>
      <c r="D16" s="3">
        <v>0</v>
      </c>
      <c r="E16" s="3">
        <v>6</v>
      </c>
      <c r="F16" s="3">
        <v>0</v>
      </c>
      <c r="G16" s="3">
        <v>0</v>
      </c>
      <c r="H16" s="3">
        <v>0</v>
      </c>
      <c r="I16" s="3">
        <v>0</v>
      </c>
      <c r="J16" s="3">
        <v>0</v>
      </c>
      <c r="K16" s="3">
        <v>0</v>
      </c>
      <c r="L16" s="3">
        <v>1</v>
      </c>
      <c r="M16" s="3">
        <v>0</v>
      </c>
      <c r="N16" s="3">
        <v>0</v>
      </c>
      <c r="O16" s="3">
        <v>0</v>
      </c>
      <c r="P16" s="3">
        <v>0</v>
      </c>
      <c r="Q16" s="3">
        <v>0</v>
      </c>
      <c r="R16" s="3">
        <v>0</v>
      </c>
      <c r="S16" s="3">
        <v>0</v>
      </c>
      <c r="T16" s="6">
        <f t="shared" si="0"/>
        <v>9</v>
      </c>
    </row>
    <row r="17" spans="1:20" ht="12.75">
      <c r="A17" t="s">
        <v>563</v>
      </c>
      <c r="B17" s="3">
        <v>0</v>
      </c>
      <c r="C17" s="3">
        <v>0</v>
      </c>
      <c r="D17" s="3">
        <v>3</v>
      </c>
      <c r="E17" s="3">
        <v>3</v>
      </c>
      <c r="F17" s="3">
        <v>0</v>
      </c>
      <c r="G17" s="3">
        <v>0</v>
      </c>
      <c r="H17" s="3">
        <v>0</v>
      </c>
      <c r="I17" s="3">
        <v>0</v>
      </c>
      <c r="J17" s="3">
        <v>0</v>
      </c>
      <c r="K17" s="3">
        <v>0</v>
      </c>
      <c r="L17" s="3">
        <v>0</v>
      </c>
      <c r="M17" s="3">
        <v>0</v>
      </c>
      <c r="N17" s="3">
        <v>0</v>
      </c>
      <c r="O17" s="3">
        <v>0</v>
      </c>
      <c r="P17" s="3">
        <v>0</v>
      </c>
      <c r="Q17" s="3">
        <v>0</v>
      </c>
      <c r="R17" s="3">
        <v>0</v>
      </c>
      <c r="S17" s="3">
        <v>1</v>
      </c>
      <c r="T17" s="6">
        <f t="shared" si="0"/>
        <v>7</v>
      </c>
    </row>
    <row r="18" spans="1:20" ht="12.75">
      <c r="A18" t="s">
        <v>566</v>
      </c>
      <c r="B18" s="3">
        <v>1</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6">
        <f t="shared" si="0"/>
        <v>1</v>
      </c>
    </row>
    <row r="19" spans="1:20" ht="12.75">
      <c r="A19" t="s">
        <v>567</v>
      </c>
      <c r="B19" s="3">
        <v>0</v>
      </c>
      <c r="C19" s="3">
        <v>1</v>
      </c>
      <c r="D19" s="3">
        <v>0</v>
      </c>
      <c r="E19" s="3">
        <v>0</v>
      </c>
      <c r="F19" s="3">
        <v>0</v>
      </c>
      <c r="G19" s="3">
        <v>0</v>
      </c>
      <c r="H19" s="3">
        <v>0</v>
      </c>
      <c r="I19" s="3">
        <v>0</v>
      </c>
      <c r="J19" s="3">
        <v>0</v>
      </c>
      <c r="K19" s="3">
        <v>0</v>
      </c>
      <c r="L19" s="3">
        <v>0</v>
      </c>
      <c r="M19" s="3">
        <v>0</v>
      </c>
      <c r="N19" s="3">
        <v>0</v>
      </c>
      <c r="O19" s="3">
        <v>0</v>
      </c>
      <c r="P19" s="3">
        <v>0</v>
      </c>
      <c r="Q19" s="3">
        <v>0</v>
      </c>
      <c r="R19" s="3">
        <v>0</v>
      </c>
      <c r="S19" s="3">
        <v>0</v>
      </c>
      <c r="T19" s="6">
        <f t="shared" si="0"/>
        <v>1</v>
      </c>
    </row>
    <row r="20" spans="1:20" ht="12.75">
      <c r="A20" t="s">
        <v>573</v>
      </c>
      <c r="B20" s="3">
        <v>0</v>
      </c>
      <c r="C20" s="3">
        <v>0</v>
      </c>
      <c r="D20" s="3">
        <v>1</v>
      </c>
      <c r="E20" s="3">
        <v>0</v>
      </c>
      <c r="F20" s="3">
        <v>0</v>
      </c>
      <c r="G20" s="3">
        <v>0</v>
      </c>
      <c r="H20" s="3">
        <v>0</v>
      </c>
      <c r="I20" s="3">
        <v>0</v>
      </c>
      <c r="J20" s="3">
        <v>0</v>
      </c>
      <c r="K20" s="3">
        <v>0</v>
      </c>
      <c r="L20" s="3">
        <v>0</v>
      </c>
      <c r="M20" s="3">
        <v>0</v>
      </c>
      <c r="N20" s="3">
        <v>0</v>
      </c>
      <c r="O20" s="3">
        <v>0</v>
      </c>
      <c r="P20" s="3">
        <v>0</v>
      </c>
      <c r="Q20" s="3">
        <v>0</v>
      </c>
      <c r="R20" s="3">
        <v>0</v>
      </c>
      <c r="S20" s="3">
        <v>0</v>
      </c>
      <c r="T20" s="6">
        <f t="shared" si="0"/>
        <v>1</v>
      </c>
    </row>
    <row r="21" spans="1:20" ht="12.75">
      <c r="A21" t="s">
        <v>574</v>
      </c>
      <c r="B21" s="3">
        <v>4</v>
      </c>
      <c r="C21" s="3">
        <v>2</v>
      </c>
      <c r="D21" s="3">
        <v>0</v>
      </c>
      <c r="E21" s="3">
        <v>0</v>
      </c>
      <c r="F21" s="3">
        <v>0</v>
      </c>
      <c r="G21" s="3">
        <v>0</v>
      </c>
      <c r="H21" s="3">
        <v>0</v>
      </c>
      <c r="I21" s="3">
        <v>0</v>
      </c>
      <c r="J21" s="3">
        <v>0</v>
      </c>
      <c r="K21" s="3">
        <v>0</v>
      </c>
      <c r="L21" s="3">
        <v>0</v>
      </c>
      <c r="M21" s="3">
        <v>0</v>
      </c>
      <c r="N21" s="3">
        <v>0</v>
      </c>
      <c r="O21" s="3">
        <v>0</v>
      </c>
      <c r="P21" s="3">
        <v>0</v>
      </c>
      <c r="Q21" s="3">
        <v>0</v>
      </c>
      <c r="R21" s="3">
        <v>0</v>
      </c>
      <c r="S21" s="3">
        <v>0</v>
      </c>
      <c r="T21" s="6">
        <f t="shared" si="0"/>
        <v>6</v>
      </c>
    </row>
    <row r="22" spans="1:20" ht="12.75">
      <c r="A22" t="s">
        <v>577</v>
      </c>
      <c r="B22" s="3">
        <v>4</v>
      </c>
      <c r="C22" s="3">
        <v>1</v>
      </c>
      <c r="D22" s="3">
        <v>0</v>
      </c>
      <c r="E22" s="3">
        <v>0</v>
      </c>
      <c r="F22" s="3">
        <v>0</v>
      </c>
      <c r="G22" s="3">
        <v>0</v>
      </c>
      <c r="H22" s="3">
        <v>0</v>
      </c>
      <c r="I22" s="3">
        <v>0</v>
      </c>
      <c r="J22" s="3">
        <v>0</v>
      </c>
      <c r="K22" s="3">
        <v>0</v>
      </c>
      <c r="L22" s="3">
        <v>0</v>
      </c>
      <c r="M22" s="3">
        <v>0</v>
      </c>
      <c r="N22" s="3">
        <v>0</v>
      </c>
      <c r="O22" s="3">
        <v>0</v>
      </c>
      <c r="P22" s="3">
        <v>0</v>
      </c>
      <c r="Q22" s="3">
        <v>0</v>
      </c>
      <c r="R22" s="3">
        <v>0</v>
      </c>
      <c r="S22" s="3">
        <v>0</v>
      </c>
      <c r="T22" s="6">
        <f t="shared" si="0"/>
        <v>5</v>
      </c>
    </row>
    <row r="23" spans="1:20" ht="12.75">
      <c r="A23" t="s">
        <v>578</v>
      </c>
      <c r="B23" s="3">
        <v>2</v>
      </c>
      <c r="C23" s="3">
        <v>0</v>
      </c>
      <c r="D23" s="3">
        <v>0</v>
      </c>
      <c r="E23" s="3">
        <v>0</v>
      </c>
      <c r="F23" s="3">
        <v>0</v>
      </c>
      <c r="G23" s="3">
        <v>0</v>
      </c>
      <c r="H23" s="3">
        <v>0</v>
      </c>
      <c r="I23" s="3">
        <v>0</v>
      </c>
      <c r="J23" s="3">
        <v>0</v>
      </c>
      <c r="K23" s="3">
        <v>0</v>
      </c>
      <c r="L23" s="3">
        <v>0</v>
      </c>
      <c r="M23" s="3">
        <v>3</v>
      </c>
      <c r="N23" s="3">
        <v>0</v>
      </c>
      <c r="O23" s="3">
        <v>0</v>
      </c>
      <c r="P23" s="3">
        <v>0</v>
      </c>
      <c r="Q23" s="3">
        <v>0</v>
      </c>
      <c r="R23" s="3">
        <v>0</v>
      </c>
      <c r="S23" s="3">
        <v>0</v>
      </c>
      <c r="T23" s="6">
        <f t="shared" si="0"/>
        <v>5</v>
      </c>
    </row>
    <row r="24" spans="1:20" ht="12.75">
      <c r="A24" t="s">
        <v>583</v>
      </c>
      <c r="B24" s="3">
        <v>0</v>
      </c>
      <c r="C24" s="3">
        <v>7</v>
      </c>
      <c r="D24" s="3">
        <v>0</v>
      </c>
      <c r="E24" s="3">
        <v>0</v>
      </c>
      <c r="F24" s="3">
        <v>0</v>
      </c>
      <c r="G24" s="3">
        <v>0</v>
      </c>
      <c r="H24" s="3">
        <v>0</v>
      </c>
      <c r="I24" s="3">
        <v>0</v>
      </c>
      <c r="J24" s="3">
        <v>0</v>
      </c>
      <c r="K24" s="3">
        <v>0</v>
      </c>
      <c r="L24" s="3">
        <v>0</v>
      </c>
      <c r="M24" s="3">
        <v>0</v>
      </c>
      <c r="N24" s="3">
        <v>0</v>
      </c>
      <c r="O24" s="3">
        <v>0</v>
      </c>
      <c r="P24" s="3">
        <v>0</v>
      </c>
      <c r="Q24" s="3">
        <v>0</v>
      </c>
      <c r="R24" s="3">
        <v>0</v>
      </c>
      <c r="S24" s="3">
        <v>0</v>
      </c>
      <c r="T24" s="6">
        <f t="shared" si="0"/>
        <v>7</v>
      </c>
    </row>
    <row r="25" spans="1:20" ht="12.75">
      <c r="A25" t="s">
        <v>585</v>
      </c>
      <c r="B25" s="3">
        <v>3</v>
      </c>
      <c r="C25" s="3">
        <v>3</v>
      </c>
      <c r="D25" s="3">
        <v>0</v>
      </c>
      <c r="E25" s="3">
        <v>0</v>
      </c>
      <c r="F25" s="3">
        <v>0</v>
      </c>
      <c r="G25" s="3">
        <v>0</v>
      </c>
      <c r="H25" s="3">
        <v>0</v>
      </c>
      <c r="I25" s="3">
        <v>0</v>
      </c>
      <c r="J25" s="3">
        <v>0</v>
      </c>
      <c r="K25" s="3">
        <v>0</v>
      </c>
      <c r="L25" s="3">
        <v>1</v>
      </c>
      <c r="M25" s="3">
        <v>0</v>
      </c>
      <c r="N25" s="3">
        <v>0</v>
      </c>
      <c r="O25" s="3">
        <v>0</v>
      </c>
      <c r="P25" s="3">
        <v>0</v>
      </c>
      <c r="Q25" s="3">
        <v>0</v>
      </c>
      <c r="R25" s="3">
        <v>0</v>
      </c>
      <c r="S25" s="3">
        <v>0</v>
      </c>
      <c r="T25" s="6">
        <f t="shared" si="0"/>
        <v>7</v>
      </c>
    </row>
    <row r="26" spans="1:20" ht="12.75">
      <c r="A26" t="s">
        <v>586</v>
      </c>
      <c r="B26" s="3">
        <v>4</v>
      </c>
      <c r="C26" s="3">
        <v>0</v>
      </c>
      <c r="D26" s="3">
        <v>0</v>
      </c>
      <c r="E26" s="3">
        <v>0</v>
      </c>
      <c r="F26" s="3">
        <v>0</v>
      </c>
      <c r="G26" s="3">
        <v>0</v>
      </c>
      <c r="H26" s="3">
        <v>0</v>
      </c>
      <c r="I26" s="3">
        <v>0</v>
      </c>
      <c r="J26" s="3">
        <v>0</v>
      </c>
      <c r="K26" s="3">
        <v>0</v>
      </c>
      <c r="L26" s="3">
        <v>0</v>
      </c>
      <c r="M26" s="3">
        <v>0</v>
      </c>
      <c r="N26" s="3">
        <v>0</v>
      </c>
      <c r="O26" s="3">
        <v>0</v>
      </c>
      <c r="P26" s="3">
        <v>0</v>
      </c>
      <c r="Q26" s="3">
        <v>0</v>
      </c>
      <c r="R26" s="3">
        <v>0</v>
      </c>
      <c r="S26" s="3">
        <v>0</v>
      </c>
      <c r="T26" s="6">
        <f t="shared" si="0"/>
        <v>4</v>
      </c>
    </row>
    <row r="27" spans="1:20" ht="12.75">
      <c r="A27" s="2" t="s">
        <v>527</v>
      </c>
      <c r="B27" s="6">
        <f aca="true" t="shared" si="1" ref="B27:T27">SUM(B7:B26)</f>
        <v>39</v>
      </c>
      <c r="C27" s="6">
        <f t="shared" si="1"/>
        <v>61</v>
      </c>
      <c r="D27" s="6">
        <f t="shared" si="1"/>
        <v>13</v>
      </c>
      <c r="E27" s="6">
        <f t="shared" si="1"/>
        <v>18</v>
      </c>
      <c r="F27" s="6">
        <f t="shared" si="1"/>
        <v>0</v>
      </c>
      <c r="G27" s="6">
        <f t="shared" si="1"/>
        <v>0</v>
      </c>
      <c r="H27" s="6">
        <f t="shared" si="1"/>
        <v>0</v>
      </c>
      <c r="I27" s="6">
        <f t="shared" si="1"/>
        <v>0</v>
      </c>
      <c r="J27" s="6">
        <f t="shared" si="1"/>
        <v>0</v>
      </c>
      <c r="K27" s="6">
        <f t="shared" si="1"/>
        <v>0</v>
      </c>
      <c r="L27" s="6">
        <f t="shared" si="1"/>
        <v>16</v>
      </c>
      <c r="M27" s="6">
        <f t="shared" si="1"/>
        <v>18</v>
      </c>
      <c r="N27" s="6">
        <f t="shared" si="1"/>
        <v>0</v>
      </c>
      <c r="O27" s="6">
        <f t="shared" si="1"/>
        <v>0</v>
      </c>
      <c r="P27" s="6">
        <f t="shared" si="1"/>
        <v>2</v>
      </c>
      <c r="Q27" s="6">
        <f t="shared" si="1"/>
        <v>15</v>
      </c>
      <c r="R27" s="6">
        <f t="shared" si="1"/>
        <v>4</v>
      </c>
      <c r="S27" s="6">
        <f t="shared" si="1"/>
        <v>22</v>
      </c>
      <c r="T27" s="6">
        <f t="shared" si="1"/>
        <v>208</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V67"/>
  <sheetViews>
    <sheetView zoomScalePageLayoutView="0" workbookViewId="0" topLeftCell="A1">
      <selection activeCell="A1" sqref="A1"/>
    </sheetView>
  </sheetViews>
  <sheetFormatPr defaultColWidth="9.140625" defaultRowHeight="12.75"/>
  <sheetData>
    <row r="1" ht="18">
      <c r="A1" s="1" t="s">
        <v>756</v>
      </c>
    </row>
    <row r="5" spans="1:22" ht="12.75">
      <c r="A5" s="2" t="s">
        <v>757</v>
      </c>
      <c r="B5" s="2" t="s">
        <v>758</v>
      </c>
      <c r="D5" s="2" t="s">
        <v>759</v>
      </c>
      <c r="F5" s="2" t="s">
        <v>760</v>
      </c>
      <c r="H5" s="2" t="s">
        <v>761</v>
      </c>
      <c r="J5" s="2" t="s">
        <v>762</v>
      </c>
      <c r="L5" s="2" t="s">
        <v>763</v>
      </c>
      <c r="N5" s="2" t="s">
        <v>764</v>
      </c>
      <c r="P5" s="2" t="s">
        <v>765</v>
      </c>
      <c r="R5" s="2" t="s">
        <v>766</v>
      </c>
      <c r="T5" s="2" t="s">
        <v>767</v>
      </c>
      <c r="V5" s="2" t="s">
        <v>527</v>
      </c>
    </row>
    <row r="6" spans="1:21" ht="12.75">
      <c r="A6" s="2" t="s">
        <v>522</v>
      </c>
      <c r="B6" t="s">
        <v>528</v>
      </c>
      <c r="C6" t="s">
        <v>529</v>
      </c>
      <c r="D6" t="s">
        <v>528</v>
      </c>
      <c r="E6" t="s">
        <v>529</v>
      </c>
      <c r="F6" t="s">
        <v>528</v>
      </c>
      <c r="G6" t="s">
        <v>529</v>
      </c>
      <c r="H6" t="s">
        <v>528</v>
      </c>
      <c r="I6" t="s">
        <v>529</v>
      </c>
      <c r="J6" t="s">
        <v>528</v>
      </c>
      <c r="K6" t="s">
        <v>529</v>
      </c>
      <c r="L6" t="s">
        <v>528</v>
      </c>
      <c r="M6" t="s">
        <v>529</v>
      </c>
      <c r="N6" t="s">
        <v>528</v>
      </c>
      <c r="O6" t="s">
        <v>529</v>
      </c>
      <c r="P6" t="s">
        <v>528</v>
      </c>
      <c r="Q6" t="s">
        <v>529</v>
      </c>
      <c r="R6" t="s">
        <v>528</v>
      </c>
      <c r="S6" t="s">
        <v>529</v>
      </c>
      <c r="T6" t="s">
        <v>528</v>
      </c>
      <c r="U6" t="s">
        <v>529</v>
      </c>
    </row>
    <row r="7" spans="1:22" ht="12.75">
      <c r="A7" t="s">
        <v>530</v>
      </c>
      <c r="B7" s="3">
        <v>0</v>
      </c>
      <c r="C7" s="3">
        <v>0</v>
      </c>
      <c r="D7" s="3">
        <v>0</v>
      </c>
      <c r="E7" s="3">
        <v>0</v>
      </c>
      <c r="F7" s="3">
        <v>0</v>
      </c>
      <c r="G7" s="3">
        <v>0</v>
      </c>
      <c r="H7" s="3">
        <v>0</v>
      </c>
      <c r="I7" s="3">
        <v>0</v>
      </c>
      <c r="J7" s="3">
        <v>0</v>
      </c>
      <c r="K7" s="3">
        <v>0</v>
      </c>
      <c r="L7" s="3">
        <v>0</v>
      </c>
      <c r="M7" s="3">
        <v>1</v>
      </c>
      <c r="N7" s="3">
        <v>0</v>
      </c>
      <c r="O7" s="3">
        <v>0</v>
      </c>
      <c r="P7" s="3">
        <v>0</v>
      </c>
      <c r="Q7" s="3">
        <v>0</v>
      </c>
      <c r="R7" s="3">
        <v>0</v>
      </c>
      <c r="S7" s="3">
        <v>0</v>
      </c>
      <c r="T7" s="3">
        <v>0</v>
      </c>
      <c r="U7" s="3">
        <v>0</v>
      </c>
      <c r="V7" s="6">
        <f aca="true" t="shared" si="0" ref="V7:V38">SUM(B7:U7)</f>
        <v>1</v>
      </c>
    </row>
    <row r="8" spans="1:22" ht="12.75">
      <c r="A8" t="s">
        <v>531</v>
      </c>
      <c r="B8" s="3">
        <v>0</v>
      </c>
      <c r="C8" s="3">
        <v>0</v>
      </c>
      <c r="D8" s="3">
        <v>0</v>
      </c>
      <c r="E8" s="3">
        <v>0</v>
      </c>
      <c r="F8" s="3">
        <v>0</v>
      </c>
      <c r="G8" s="3">
        <v>0</v>
      </c>
      <c r="H8" s="3">
        <v>0</v>
      </c>
      <c r="I8" s="3">
        <v>0</v>
      </c>
      <c r="J8" s="3">
        <v>0</v>
      </c>
      <c r="K8" s="3">
        <v>0</v>
      </c>
      <c r="L8" s="3">
        <v>0</v>
      </c>
      <c r="M8" s="3">
        <v>0</v>
      </c>
      <c r="N8" s="3">
        <v>0</v>
      </c>
      <c r="O8" s="3">
        <v>1</v>
      </c>
      <c r="P8" s="3">
        <v>0</v>
      </c>
      <c r="Q8" s="3">
        <v>0</v>
      </c>
      <c r="R8" s="3">
        <v>0</v>
      </c>
      <c r="S8" s="3">
        <v>0</v>
      </c>
      <c r="T8" s="3">
        <v>0</v>
      </c>
      <c r="U8" s="3">
        <v>0</v>
      </c>
      <c r="V8" s="6">
        <f t="shared" si="0"/>
        <v>1</v>
      </c>
    </row>
    <row r="9" spans="1:22" ht="12.75">
      <c r="A9" t="s">
        <v>532</v>
      </c>
      <c r="B9" s="3">
        <v>0</v>
      </c>
      <c r="C9" s="3">
        <v>0</v>
      </c>
      <c r="D9" s="3">
        <v>0</v>
      </c>
      <c r="E9" s="3">
        <v>0</v>
      </c>
      <c r="F9" s="3">
        <v>0</v>
      </c>
      <c r="G9" s="3">
        <v>0</v>
      </c>
      <c r="H9" s="3">
        <v>0</v>
      </c>
      <c r="I9" s="3">
        <v>0</v>
      </c>
      <c r="J9" s="3">
        <v>0</v>
      </c>
      <c r="K9" s="3">
        <v>0</v>
      </c>
      <c r="L9" s="3">
        <v>0</v>
      </c>
      <c r="M9" s="3">
        <v>1</v>
      </c>
      <c r="N9" s="3">
        <v>0</v>
      </c>
      <c r="O9" s="3">
        <v>0</v>
      </c>
      <c r="P9" s="3">
        <v>0</v>
      </c>
      <c r="Q9" s="3">
        <v>0</v>
      </c>
      <c r="R9" s="3">
        <v>0</v>
      </c>
      <c r="S9" s="3">
        <v>0</v>
      </c>
      <c r="T9" s="3">
        <v>0</v>
      </c>
      <c r="U9" s="3">
        <v>0</v>
      </c>
      <c r="V9" s="6">
        <f t="shared" si="0"/>
        <v>1</v>
      </c>
    </row>
    <row r="10" spans="1:22" ht="12.75">
      <c r="A10" t="s">
        <v>533</v>
      </c>
      <c r="B10" s="3">
        <v>2</v>
      </c>
      <c r="C10" s="3">
        <v>0</v>
      </c>
      <c r="D10" s="3">
        <v>3</v>
      </c>
      <c r="E10" s="3">
        <v>0</v>
      </c>
      <c r="F10" s="3">
        <v>5</v>
      </c>
      <c r="G10" s="3">
        <v>0</v>
      </c>
      <c r="H10" s="3">
        <v>3</v>
      </c>
      <c r="I10" s="3">
        <v>2</v>
      </c>
      <c r="J10" s="3">
        <v>0</v>
      </c>
      <c r="K10" s="3">
        <v>1</v>
      </c>
      <c r="L10" s="3">
        <v>6</v>
      </c>
      <c r="M10" s="3">
        <v>4</v>
      </c>
      <c r="N10" s="3">
        <v>7</v>
      </c>
      <c r="O10" s="3">
        <v>1</v>
      </c>
      <c r="P10" s="3">
        <v>2</v>
      </c>
      <c r="Q10" s="3">
        <v>0</v>
      </c>
      <c r="R10" s="3">
        <v>0</v>
      </c>
      <c r="S10" s="3">
        <v>0</v>
      </c>
      <c r="T10" s="3">
        <v>0</v>
      </c>
      <c r="U10" s="3">
        <v>0</v>
      </c>
      <c r="V10" s="6">
        <f t="shared" si="0"/>
        <v>36</v>
      </c>
    </row>
    <row r="11" spans="1:22" ht="12.75">
      <c r="A11" t="s">
        <v>534</v>
      </c>
      <c r="B11" s="3">
        <v>0</v>
      </c>
      <c r="C11" s="3">
        <v>0</v>
      </c>
      <c r="D11" s="3">
        <v>0</v>
      </c>
      <c r="E11" s="3">
        <v>0</v>
      </c>
      <c r="F11" s="3">
        <v>1</v>
      </c>
      <c r="G11" s="3">
        <v>0</v>
      </c>
      <c r="H11" s="3">
        <v>0</v>
      </c>
      <c r="I11" s="3">
        <v>0</v>
      </c>
      <c r="J11" s="3">
        <v>0</v>
      </c>
      <c r="K11" s="3">
        <v>0</v>
      </c>
      <c r="L11" s="3">
        <v>0</v>
      </c>
      <c r="M11" s="3">
        <v>0</v>
      </c>
      <c r="N11" s="3">
        <v>0</v>
      </c>
      <c r="O11" s="3">
        <v>0</v>
      </c>
      <c r="P11" s="3">
        <v>0</v>
      </c>
      <c r="Q11" s="3">
        <v>0</v>
      </c>
      <c r="R11" s="3">
        <v>0</v>
      </c>
      <c r="S11" s="3">
        <v>0</v>
      </c>
      <c r="T11" s="3">
        <v>0</v>
      </c>
      <c r="U11" s="3">
        <v>0</v>
      </c>
      <c r="V11" s="6">
        <f t="shared" si="0"/>
        <v>1</v>
      </c>
    </row>
    <row r="12" spans="1:22" ht="12.75">
      <c r="A12" t="s">
        <v>535</v>
      </c>
      <c r="B12" s="3">
        <v>1</v>
      </c>
      <c r="C12" s="3">
        <v>0</v>
      </c>
      <c r="D12" s="3">
        <v>2</v>
      </c>
      <c r="E12" s="3">
        <v>0</v>
      </c>
      <c r="F12" s="3">
        <v>6</v>
      </c>
      <c r="G12" s="3">
        <v>2</v>
      </c>
      <c r="H12" s="3">
        <v>6</v>
      </c>
      <c r="I12" s="3">
        <v>2</v>
      </c>
      <c r="J12" s="3">
        <v>1</v>
      </c>
      <c r="K12" s="3">
        <v>4</v>
      </c>
      <c r="L12" s="3">
        <v>3</v>
      </c>
      <c r="M12" s="3">
        <v>1</v>
      </c>
      <c r="N12" s="3">
        <v>9</v>
      </c>
      <c r="O12" s="3">
        <v>2</v>
      </c>
      <c r="P12" s="3">
        <v>0</v>
      </c>
      <c r="Q12" s="3">
        <v>1</v>
      </c>
      <c r="R12" s="3">
        <v>0</v>
      </c>
      <c r="S12" s="3">
        <v>0</v>
      </c>
      <c r="T12" s="3">
        <v>0</v>
      </c>
      <c r="U12" s="3">
        <v>0</v>
      </c>
      <c r="V12" s="6">
        <f t="shared" si="0"/>
        <v>40</v>
      </c>
    </row>
    <row r="13" spans="1:22" ht="12.75">
      <c r="A13" t="s">
        <v>536</v>
      </c>
      <c r="B13" s="3">
        <v>1</v>
      </c>
      <c r="C13" s="3">
        <v>0</v>
      </c>
      <c r="D13" s="3">
        <v>0</v>
      </c>
      <c r="E13" s="3">
        <v>0</v>
      </c>
      <c r="F13" s="3">
        <v>0</v>
      </c>
      <c r="G13" s="3">
        <v>0</v>
      </c>
      <c r="H13" s="3">
        <v>1</v>
      </c>
      <c r="I13" s="3">
        <v>0</v>
      </c>
      <c r="J13" s="3">
        <v>1</v>
      </c>
      <c r="K13" s="3">
        <v>0</v>
      </c>
      <c r="L13" s="3">
        <v>2</v>
      </c>
      <c r="M13" s="3">
        <v>0</v>
      </c>
      <c r="N13" s="3">
        <v>1</v>
      </c>
      <c r="O13" s="3">
        <v>0</v>
      </c>
      <c r="P13" s="3">
        <v>0</v>
      </c>
      <c r="Q13" s="3">
        <v>0</v>
      </c>
      <c r="R13" s="3">
        <v>0</v>
      </c>
      <c r="S13" s="3">
        <v>0</v>
      </c>
      <c r="T13" s="3">
        <v>0</v>
      </c>
      <c r="U13" s="3">
        <v>0</v>
      </c>
      <c r="V13" s="6">
        <f t="shared" si="0"/>
        <v>6</v>
      </c>
    </row>
    <row r="14" spans="1:22" ht="12.75">
      <c r="A14" t="s">
        <v>537</v>
      </c>
      <c r="B14" s="3">
        <v>31</v>
      </c>
      <c r="C14" s="3">
        <v>66</v>
      </c>
      <c r="D14" s="3">
        <v>14</v>
      </c>
      <c r="E14" s="3">
        <v>24</v>
      </c>
      <c r="F14" s="3">
        <v>38</v>
      </c>
      <c r="G14" s="3">
        <v>33</v>
      </c>
      <c r="H14" s="3">
        <v>19</v>
      </c>
      <c r="I14" s="3">
        <v>20</v>
      </c>
      <c r="J14" s="3">
        <v>15</v>
      </c>
      <c r="K14" s="3">
        <v>16</v>
      </c>
      <c r="L14" s="3">
        <v>18</v>
      </c>
      <c r="M14" s="3">
        <v>6</v>
      </c>
      <c r="N14" s="3">
        <v>8</v>
      </c>
      <c r="O14" s="3">
        <v>3</v>
      </c>
      <c r="P14" s="3">
        <v>0</v>
      </c>
      <c r="Q14" s="3">
        <v>0</v>
      </c>
      <c r="R14" s="3">
        <v>0</v>
      </c>
      <c r="S14" s="3">
        <v>0</v>
      </c>
      <c r="T14" s="3">
        <v>0</v>
      </c>
      <c r="U14" s="3">
        <v>1</v>
      </c>
      <c r="V14" s="6">
        <f t="shared" si="0"/>
        <v>312</v>
      </c>
    </row>
    <row r="15" spans="1:22" ht="12.75">
      <c r="A15" t="s">
        <v>538</v>
      </c>
      <c r="B15" s="3">
        <v>25</v>
      </c>
      <c r="C15" s="3">
        <v>27</v>
      </c>
      <c r="D15" s="3">
        <v>6</v>
      </c>
      <c r="E15" s="3">
        <v>3</v>
      </c>
      <c r="F15" s="3">
        <v>8</v>
      </c>
      <c r="G15" s="3">
        <v>4</v>
      </c>
      <c r="H15" s="3">
        <v>2</v>
      </c>
      <c r="I15" s="3">
        <v>0</v>
      </c>
      <c r="J15" s="3">
        <v>2</v>
      </c>
      <c r="K15" s="3">
        <v>0</v>
      </c>
      <c r="L15" s="3">
        <v>2</v>
      </c>
      <c r="M15" s="3">
        <v>1</v>
      </c>
      <c r="N15" s="3">
        <v>0</v>
      </c>
      <c r="O15" s="3">
        <v>0</v>
      </c>
      <c r="P15" s="3">
        <v>0</v>
      </c>
      <c r="Q15" s="3">
        <v>0</v>
      </c>
      <c r="R15" s="3">
        <v>0</v>
      </c>
      <c r="S15" s="3">
        <v>0</v>
      </c>
      <c r="T15" s="3">
        <v>0</v>
      </c>
      <c r="U15" s="3">
        <v>0</v>
      </c>
      <c r="V15" s="6">
        <f t="shared" si="0"/>
        <v>80</v>
      </c>
    </row>
    <row r="16" spans="1:22" ht="12.75">
      <c r="A16" t="s">
        <v>539</v>
      </c>
      <c r="B16" s="3">
        <v>0</v>
      </c>
      <c r="C16" s="3">
        <v>0</v>
      </c>
      <c r="D16" s="3">
        <v>1</v>
      </c>
      <c r="E16" s="3">
        <v>0</v>
      </c>
      <c r="F16" s="3">
        <v>0</v>
      </c>
      <c r="G16" s="3">
        <v>0</v>
      </c>
      <c r="H16" s="3">
        <v>0</v>
      </c>
      <c r="I16" s="3">
        <v>0</v>
      </c>
      <c r="J16" s="3">
        <v>0</v>
      </c>
      <c r="K16" s="3">
        <v>0</v>
      </c>
      <c r="L16" s="3">
        <v>1</v>
      </c>
      <c r="M16" s="3">
        <v>0</v>
      </c>
      <c r="N16" s="3">
        <v>2</v>
      </c>
      <c r="O16" s="3">
        <v>0</v>
      </c>
      <c r="P16" s="3">
        <v>0</v>
      </c>
      <c r="Q16" s="3">
        <v>0</v>
      </c>
      <c r="R16" s="3">
        <v>0</v>
      </c>
      <c r="S16" s="3">
        <v>0</v>
      </c>
      <c r="T16" s="3">
        <v>0</v>
      </c>
      <c r="U16" s="3">
        <v>0</v>
      </c>
      <c r="V16" s="6">
        <f t="shared" si="0"/>
        <v>4</v>
      </c>
    </row>
    <row r="17" spans="1:22" ht="12.75">
      <c r="A17" t="s">
        <v>540</v>
      </c>
      <c r="B17" s="3">
        <v>7</v>
      </c>
      <c r="C17" s="3">
        <v>4</v>
      </c>
      <c r="D17" s="3">
        <v>0</v>
      </c>
      <c r="E17" s="3">
        <v>1</v>
      </c>
      <c r="F17" s="3">
        <v>1</v>
      </c>
      <c r="G17" s="3">
        <v>0</v>
      </c>
      <c r="H17" s="3">
        <v>1</v>
      </c>
      <c r="I17" s="3">
        <v>0</v>
      </c>
      <c r="J17" s="3">
        <v>0</v>
      </c>
      <c r="K17" s="3">
        <v>0</v>
      </c>
      <c r="L17" s="3">
        <v>13</v>
      </c>
      <c r="M17" s="3">
        <v>2</v>
      </c>
      <c r="N17" s="3">
        <v>0</v>
      </c>
      <c r="O17" s="3">
        <v>0</v>
      </c>
      <c r="P17" s="3">
        <v>0</v>
      </c>
      <c r="Q17" s="3">
        <v>0</v>
      </c>
      <c r="R17" s="3">
        <v>0</v>
      </c>
      <c r="S17" s="3">
        <v>0</v>
      </c>
      <c r="T17" s="3">
        <v>0</v>
      </c>
      <c r="U17" s="3">
        <v>0</v>
      </c>
      <c r="V17" s="6">
        <f t="shared" si="0"/>
        <v>29</v>
      </c>
    </row>
    <row r="18" spans="1:22" ht="12.75">
      <c r="A18" t="s">
        <v>541</v>
      </c>
      <c r="B18" s="3">
        <v>0</v>
      </c>
      <c r="C18" s="3">
        <v>0</v>
      </c>
      <c r="D18" s="3">
        <v>0</v>
      </c>
      <c r="E18" s="3">
        <v>0</v>
      </c>
      <c r="F18" s="3">
        <v>1</v>
      </c>
      <c r="G18" s="3">
        <v>0</v>
      </c>
      <c r="H18" s="3">
        <v>0</v>
      </c>
      <c r="I18" s="3">
        <v>0</v>
      </c>
      <c r="J18" s="3">
        <v>0</v>
      </c>
      <c r="K18" s="3">
        <v>0</v>
      </c>
      <c r="L18" s="3">
        <v>0</v>
      </c>
      <c r="M18" s="3">
        <v>0</v>
      </c>
      <c r="N18" s="3">
        <v>0</v>
      </c>
      <c r="O18" s="3">
        <v>0</v>
      </c>
      <c r="P18" s="3">
        <v>0</v>
      </c>
      <c r="Q18" s="3">
        <v>0</v>
      </c>
      <c r="R18" s="3">
        <v>0</v>
      </c>
      <c r="S18" s="3">
        <v>0</v>
      </c>
      <c r="T18" s="3">
        <v>0</v>
      </c>
      <c r="U18" s="3">
        <v>0</v>
      </c>
      <c r="V18" s="6">
        <f t="shared" si="0"/>
        <v>1</v>
      </c>
    </row>
    <row r="19" spans="1:22" ht="12.75">
      <c r="A19" t="s">
        <v>542</v>
      </c>
      <c r="B19" s="3">
        <v>0</v>
      </c>
      <c r="C19" s="3">
        <v>0</v>
      </c>
      <c r="D19" s="3">
        <v>0</v>
      </c>
      <c r="E19" s="3">
        <v>0</v>
      </c>
      <c r="F19" s="3">
        <v>0</v>
      </c>
      <c r="G19" s="3">
        <v>0</v>
      </c>
      <c r="H19" s="3">
        <v>0</v>
      </c>
      <c r="I19" s="3">
        <v>3</v>
      </c>
      <c r="J19" s="3">
        <v>1</v>
      </c>
      <c r="K19" s="3">
        <v>0</v>
      </c>
      <c r="L19" s="3">
        <v>0</v>
      </c>
      <c r="M19" s="3">
        <v>0</v>
      </c>
      <c r="N19" s="3">
        <v>0</v>
      </c>
      <c r="O19" s="3">
        <v>0</v>
      </c>
      <c r="P19" s="3">
        <v>0</v>
      </c>
      <c r="Q19" s="3">
        <v>0</v>
      </c>
      <c r="R19" s="3">
        <v>0</v>
      </c>
      <c r="S19" s="3">
        <v>0</v>
      </c>
      <c r="T19" s="3">
        <v>0</v>
      </c>
      <c r="U19" s="3">
        <v>0</v>
      </c>
      <c r="V19" s="6">
        <f t="shared" si="0"/>
        <v>4</v>
      </c>
    </row>
    <row r="20" spans="1:22" ht="12.75">
      <c r="A20" t="s">
        <v>543</v>
      </c>
      <c r="B20" s="3">
        <v>2</v>
      </c>
      <c r="C20" s="3">
        <v>2</v>
      </c>
      <c r="D20" s="3">
        <v>0</v>
      </c>
      <c r="E20" s="3">
        <v>1</v>
      </c>
      <c r="F20" s="3">
        <v>0</v>
      </c>
      <c r="G20" s="3">
        <v>1</v>
      </c>
      <c r="H20" s="3">
        <v>0</v>
      </c>
      <c r="I20" s="3">
        <v>0</v>
      </c>
      <c r="J20" s="3">
        <v>0</v>
      </c>
      <c r="K20" s="3">
        <v>0</v>
      </c>
      <c r="L20" s="3">
        <v>0</v>
      </c>
      <c r="M20" s="3">
        <v>0</v>
      </c>
      <c r="N20" s="3">
        <v>0</v>
      </c>
      <c r="O20" s="3">
        <v>0</v>
      </c>
      <c r="P20" s="3">
        <v>0</v>
      </c>
      <c r="Q20" s="3">
        <v>0</v>
      </c>
      <c r="R20" s="3">
        <v>0</v>
      </c>
      <c r="S20" s="3">
        <v>0</v>
      </c>
      <c r="T20" s="3">
        <v>0</v>
      </c>
      <c r="U20" s="3">
        <v>0</v>
      </c>
      <c r="V20" s="6">
        <f t="shared" si="0"/>
        <v>6</v>
      </c>
    </row>
    <row r="21" spans="1:22" ht="12.75">
      <c r="A21" t="s">
        <v>544</v>
      </c>
      <c r="B21" s="3">
        <v>0</v>
      </c>
      <c r="C21" s="3">
        <v>0</v>
      </c>
      <c r="D21" s="3">
        <v>0</v>
      </c>
      <c r="E21" s="3">
        <v>0</v>
      </c>
      <c r="F21" s="3">
        <v>0</v>
      </c>
      <c r="G21" s="3">
        <v>0</v>
      </c>
      <c r="H21" s="3">
        <v>0</v>
      </c>
      <c r="I21" s="3">
        <v>0</v>
      </c>
      <c r="J21" s="3">
        <v>0</v>
      </c>
      <c r="K21" s="3">
        <v>0</v>
      </c>
      <c r="L21" s="3">
        <v>1</v>
      </c>
      <c r="M21" s="3">
        <v>0</v>
      </c>
      <c r="N21" s="3">
        <v>0</v>
      </c>
      <c r="O21" s="3">
        <v>0</v>
      </c>
      <c r="P21" s="3">
        <v>0</v>
      </c>
      <c r="Q21" s="3">
        <v>0</v>
      </c>
      <c r="R21" s="3">
        <v>0</v>
      </c>
      <c r="S21" s="3">
        <v>0</v>
      </c>
      <c r="T21" s="3">
        <v>0</v>
      </c>
      <c r="U21" s="3">
        <v>0</v>
      </c>
      <c r="V21" s="6">
        <f t="shared" si="0"/>
        <v>1</v>
      </c>
    </row>
    <row r="22" spans="1:22" ht="12.75">
      <c r="A22" t="s">
        <v>545</v>
      </c>
      <c r="B22" s="3">
        <v>1</v>
      </c>
      <c r="C22" s="3">
        <v>7</v>
      </c>
      <c r="D22" s="3">
        <v>0</v>
      </c>
      <c r="E22" s="3">
        <v>1</v>
      </c>
      <c r="F22" s="3">
        <v>0</v>
      </c>
      <c r="G22" s="3">
        <v>3</v>
      </c>
      <c r="H22" s="3">
        <v>0</v>
      </c>
      <c r="I22" s="3">
        <v>0</v>
      </c>
      <c r="J22" s="3">
        <v>0</v>
      </c>
      <c r="K22" s="3">
        <v>0</v>
      </c>
      <c r="L22" s="3">
        <v>0</v>
      </c>
      <c r="M22" s="3">
        <v>1</v>
      </c>
      <c r="N22" s="3">
        <v>0</v>
      </c>
      <c r="O22" s="3">
        <v>1</v>
      </c>
      <c r="P22" s="3">
        <v>1</v>
      </c>
      <c r="Q22" s="3">
        <v>0</v>
      </c>
      <c r="R22" s="3">
        <v>0</v>
      </c>
      <c r="S22" s="3">
        <v>0</v>
      </c>
      <c r="T22" s="3">
        <v>0</v>
      </c>
      <c r="U22" s="3">
        <v>0</v>
      </c>
      <c r="V22" s="6">
        <f t="shared" si="0"/>
        <v>15</v>
      </c>
    </row>
    <row r="23" spans="1:22" ht="12.75">
      <c r="A23" t="s">
        <v>546</v>
      </c>
      <c r="B23" s="3">
        <v>0</v>
      </c>
      <c r="C23" s="3">
        <v>0</v>
      </c>
      <c r="D23" s="3">
        <v>0</v>
      </c>
      <c r="E23" s="3">
        <v>0</v>
      </c>
      <c r="F23" s="3">
        <v>0</v>
      </c>
      <c r="G23" s="3">
        <v>0</v>
      </c>
      <c r="H23" s="3">
        <v>0</v>
      </c>
      <c r="I23" s="3">
        <v>0</v>
      </c>
      <c r="J23" s="3">
        <v>0</v>
      </c>
      <c r="K23" s="3">
        <v>0</v>
      </c>
      <c r="L23" s="3">
        <v>1</v>
      </c>
      <c r="M23" s="3">
        <v>0</v>
      </c>
      <c r="N23" s="3">
        <v>0</v>
      </c>
      <c r="O23" s="3">
        <v>0</v>
      </c>
      <c r="P23" s="3">
        <v>0</v>
      </c>
      <c r="Q23" s="3">
        <v>0</v>
      </c>
      <c r="R23" s="3">
        <v>0</v>
      </c>
      <c r="S23" s="3">
        <v>0</v>
      </c>
      <c r="T23" s="3">
        <v>0</v>
      </c>
      <c r="U23" s="3">
        <v>0</v>
      </c>
      <c r="V23" s="6">
        <f t="shared" si="0"/>
        <v>1</v>
      </c>
    </row>
    <row r="24" spans="1:22" ht="12.75">
      <c r="A24" t="s">
        <v>547</v>
      </c>
      <c r="B24" s="3">
        <v>0</v>
      </c>
      <c r="C24" s="3">
        <v>1</v>
      </c>
      <c r="D24" s="3">
        <v>0</v>
      </c>
      <c r="E24" s="3">
        <v>0</v>
      </c>
      <c r="F24" s="3">
        <v>0</v>
      </c>
      <c r="G24" s="3">
        <v>1</v>
      </c>
      <c r="H24" s="3">
        <v>0</v>
      </c>
      <c r="I24" s="3">
        <v>2</v>
      </c>
      <c r="J24" s="3">
        <v>0</v>
      </c>
      <c r="K24" s="3">
        <v>0</v>
      </c>
      <c r="L24" s="3">
        <v>0</v>
      </c>
      <c r="M24" s="3">
        <v>0</v>
      </c>
      <c r="N24" s="3">
        <v>0</v>
      </c>
      <c r="O24" s="3">
        <v>0</v>
      </c>
      <c r="P24" s="3">
        <v>0</v>
      </c>
      <c r="Q24" s="3">
        <v>0</v>
      </c>
      <c r="R24" s="3">
        <v>0</v>
      </c>
      <c r="S24" s="3">
        <v>0</v>
      </c>
      <c r="T24" s="3">
        <v>0</v>
      </c>
      <c r="U24" s="3">
        <v>0</v>
      </c>
      <c r="V24" s="6">
        <f t="shared" si="0"/>
        <v>4</v>
      </c>
    </row>
    <row r="25" spans="1:22" ht="12.75">
      <c r="A25" t="s">
        <v>548</v>
      </c>
      <c r="B25" s="3">
        <v>0</v>
      </c>
      <c r="C25" s="3">
        <v>7</v>
      </c>
      <c r="D25" s="3">
        <v>1</v>
      </c>
      <c r="E25" s="3">
        <v>2</v>
      </c>
      <c r="F25" s="3">
        <v>1</v>
      </c>
      <c r="G25" s="3">
        <v>1</v>
      </c>
      <c r="H25" s="3">
        <v>0</v>
      </c>
      <c r="I25" s="3">
        <v>0</v>
      </c>
      <c r="J25" s="3">
        <v>3</v>
      </c>
      <c r="K25" s="3">
        <v>2</v>
      </c>
      <c r="L25" s="3">
        <v>8</v>
      </c>
      <c r="M25" s="3">
        <v>8</v>
      </c>
      <c r="N25" s="3">
        <v>5</v>
      </c>
      <c r="O25" s="3">
        <v>1</v>
      </c>
      <c r="P25" s="3">
        <v>0</v>
      </c>
      <c r="Q25" s="3">
        <v>0</v>
      </c>
      <c r="R25" s="3">
        <v>1</v>
      </c>
      <c r="S25" s="3">
        <v>0</v>
      </c>
      <c r="T25" s="3">
        <v>0</v>
      </c>
      <c r="U25" s="3">
        <v>0</v>
      </c>
      <c r="V25" s="6">
        <f t="shared" si="0"/>
        <v>40</v>
      </c>
    </row>
    <row r="26" spans="1:22" ht="12.75">
      <c r="A26" t="s">
        <v>549</v>
      </c>
      <c r="B26" s="3">
        <v>0</v>
      </c>
      <c r="C26" s="3">
        <v>2</v>
      </c>
      <c r="D26" s="3">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6">
        <f t="shared" si="0"/>
        <v>2</v>
      </c>
    </row>
    <row r="27" spans="1:22" ht="12.75">
      <c r="A27" t="s">
        <v>550</v>
      </c>
      <c r="B27" s="3">
        <v>0</v>
      </c>
      <c r="C27" s="3">
        <v>0</v>
      </c>
      <c r="D27" s="3">
        <v>0</v>
      </c>
      <c r="E27" s="3">
        <v>0</v>
      </c>
      <c r="F27" s="3">
        <v>0</v>
      </c>
      <c r="G27" s="3">
        <v>0</v>
      </c>
      <c r="H27" s="3">
        <v>0</v>
      </c>
      <c r="I27" s="3">
        <v>0</v>
      </c>
      <c r="J27" s="3">
        <v>0</v>
      </c>
      <c r="K27" s="3">
        <v>0</v>
      </c>
      <c r="L27" s="3">
        <v>0</v>
      </c>
      <c r="M27" s="3">
        <v>0</v>
      </c>
      <c r="N27" s="3">
        <v>1</v>
      </c>
      <c r="O27" s="3">
        <v>0</v>
      </c>
      <c r="P27" s="3">
        <v>0</v>
      </c>
      <c r="Q27" s="3">
        <v>0</v>
      </c>
      <c r="R27" s="3">
        <v>0</v>
      </c>
      <c r="S27" s="3">
        <v>0</v>
      </c>
      <c r="T27" s="3">
        <v>0</v>
      </c>
      <c r="U27" s="3">
        <v>0</v>
      </c>
      <c r="V27" s="6">
        <f t="shared" si="0"/>
        <v>1</v>
      </c>
    </row>
    <row r="28" spans="1:22" ht="12.75">
      <c r="A28" t="s">
        <v>551</v>
      </c>
      <c r="B28" s="3">
        <v>0</v>
      </c>
      <c r="C28" s="3">
        <v>0</v>
      </c>
      <c r="D28" s="3">
        <v>0</v>
      </c>
      <c r="E28" s="3">
        <v>0</v>
      </c>
      <c r="F28" s="3">
        <v>0</v>
      </c>
      <c r="G28" s="3">
        <v>0</v>
      </c>
      <c r="H28" s="3">
        <v>0</v>
      </c>
      <c r="I28" s="3">
        <v>0</v>
      </c>
      <c r="J28" s="3">
        <v>0</v>
      </c>
      <c r="K28" s="3">
        <v>0</v>
      </c>
      <c r="L28" s="3">
        <v>0</v>
      </c>
      <c r="M28" s="3">
        <v>0</v>
      </c>
      <c r="N28" s="3">
        <v>0</v>
      </c>
      <c r="O28" s="3">
        <v>1</v>
      </c>
      <c r="P28" s="3">
        <v>0</v>
      </c>
      <c r="Q28" s="3">
        <v>0</v>
      </c>
      <c r="R28" s="3">
        <v>0</v>
      </c>
      <c r="S28" s="3">
        <v>0</v>
      </c>
      <c r="T28" s="3">
        <v>0</v>
      </c>
      <c r="U28" s="3">
        <v>0</v>
      </c>
      <c r="V28" s="6">
        <f t="shared" si="0"/>
        <v>1</v>
      </c>
    </row>
    <row r="29" spans="1:22" ht="12.75">
      <c r="A29" t="s">
        <v>552</v>
      </c>
      <c r="B29" s="3">
        <v>0</v>
      </c>
      <c r="C29" s="3">
        <v>0</v>
      </c>
      <c r="D29" s="3">
        <v>0</v>
      </c>
      <c r="E29" s="3">
        <v>0</v>
      </c>
      <c r="F29" s="3">
        <v>0</v>
      </c>
      <c r="G29" s="3">
        <v>0</v>
      </c>
      <c r="H29" s="3">
        <v>0</v>
      </c>
      <c r="I29" s="3">
        <v>0</v>
      </c>
      <c r="J29" s="3">
        <v>0</v>
      </c>
      <c r="K29" s="3">
        <v>0</v>
      </c>
      <c r="L29" s="3">
        <v>0</v>
      </c>
      <c r="M29" s="3">
        <v>1</v>
      </c>
      <c r="N29" s="3">
        <v>1</v>
      </c>
      <c r="O29" s="3">
        <v>1</v>
      </c>
      <c r="P29" s="3">
        <v>0</v>
      </c>
      <c r="Q29" s="3">
        <v>0</v>
      </c>
      <c r="R29" s="3">
        <v>0</v>
      </c>
      <c r="S29" s="3">
        <v>0</v>
      </c>
      <c r="T29" s="3">
        <v>0</v>
      </c>
      <c r="U29" s="3">
        <v>0</v>
      </c>
      <c r="V29" s="6">
        <f t="shared" si="0"/>
        <v>3</v>
      </c>
    </row>
    <row r="30" spans="1:22" ht="12.75">
      <c r="A30" t="s">
        <v>553</v>
      </c>
      <c r="B30" s="3">
        <v>0</v>
      </c>
      <c r="C30" s="3">
        <v>0</v>
      </c>
      <c r="D30" s="3">
        <v>0</v>
      </c>
      <c r="E30" s="3">
        <v>0</v>
      </c>
      <c r="F30" s="3">
        <v>0</v>
      </c>
      <c r="G30" s="3">
        <v>0</v>
      </c>
      <c r="H30" s="3">
        <v>0</v>
      </c>
      <c r="I30" s="3">
        <v>0</v>
      </c>
      <c r="J30" s="3">
        <v>0</v>
      </c>
      <c r="K30" s="3">
        <v>0</v>
      </c>
      <c r="L30" s="3">
        <v>1</v>
      </c>
      <c r="M30" s="3">
        <v>0</v>
      </c>
      <c r="N30" s="3">
        <v>0</v>
      </c>
      <c r="O30" s="3">
        <v>0</v>
      </c>
      <c r="P30" s="3">
        <v>0</v>
      </c>
      <c r="Q30" s="3">
        <v>0</v>
      </c>
      <c r="R30" s="3">
        <v>0</v>
      </c>
      <c r="S30" s="3">
        <v>0</v>
      </c>
      <c r="T30" s="3">
        <v>0</v>
      </c>
      <c r="U30" s="3">
        <v>0</v>
      </c>
      <c r="V30" s="6">
        <f t="shared" si="0"/>
        <v>1</v>
      </c>
    </row>
    <row r="31" spans="1:22" ht="12.75">
      <c r="A31" t="s">
        <v>554</v>
      </c>
      <c r="B31" s="3">
        <v>0</v>
      </c>
      <c r="C31" s="3">
        <v>0</v>
      </c>
      <c r="D31" s="3">
        <v>0</v>
      </c>
      <c r="E31" s="3">
        <v>0</v>
      </c>
      <c r="F31" s="3">
        <v>1</v>
      </c>
      <c r="G31" s="3">
        <v>0</v>
      </c>
      <c r="H31" s="3">
        <v>0</v>
      </c>
      <c r="I31" s="3">
        <v>0</v>
      </c>
      <c r="J31" s="3">
        <v>0</v>
      </c>
      <c r="K31" s="3">
        <v>0</v>
      </c>
      <c r="L31" s="3">
        <v>0</v>
      </c>
      <c r="M31" s="3">
        <v>0</v>
      </c>
      <c r="N31" s="3">
        <v>0</v>
      </c>
      <c r="O31" s="3">
        <v>0</v>
      </c>
      <c r="P31" s="3">
        <v>1</v>
      </c>
      <c r="Q31" s="3">
        <v>0</v>
      </c>
      <c r="R31" s="3">
        <v>0</v>
      </c>
      <c r="S31" s="3">
        <v>0</v>
      </c>
      <c r="T31" s="3">
        <v>0</v>
      </c>
      <c r="U31" s="3">
        <v>0</v>
      </c>
      <c r="V31" s="6">
        <f t="shared" si="0"/>
        <v>2</v>
      </c>
    </row>
    <row r="32" spans="1:22" ht="12.75">
      <c r="A32" t="s">
        <v>555</v>
      </c>
      <c r="B32" s="3">
        <v>0</v>
      </c>
      <c r="C32" s="3">
        <v>0</v>
      </c>
      <c r="D32" s="3">
        <v>0</v>
      </c>
      <c r="E32" s="3">
        <v>0</v>
      </c>
      <c r="F32" s="3">
        <v>0</v>
      </c>
      <c r="G32" s="3">
        <v>0</v>
      </c>
      <c r="H32" s="3">
        <v>0</v>
      </c>
      <c r="I32" s="3">
        <v>1</v>
      </c>
      <c r="J32" s="3">
        <v>0</v>
      </c>
      <c r="K32" s="3">
        <v>2</v>
      </c>
      <c r="L32" s="3">
        <v>4</v>
      </c>
      <c r="M32" s="3">
        <v>8</v>
      </c>
      <c r="N32" s="3">
        <v>5</v>
      </c>
      <c r="O32" s="3">
        <v>9</v>
      </c>
      <c r="P32" s="3">
        <v>2</v>
      </c>
      <c r="Q32" s="3">
        <v>7</v>
      </c>
      <c r="R32" s="3">
        <v>0</v>
      </c>
      <c r="S32" s="3">
        <v>0</v>
      </c>
      <c r="T32" s="3">
        <v>0</v>
      </c>
      <c r="U32" s="3">
        <v>0</v>
      </c>
      <c r="V32" s="6">
        <f t="shared" si="0"/>
        <v>38</v>
      </c>
    </row>
    <row r="33" spans="1:22" ht="12.75">
      <c r="A33" t="s">
        <v>556</v>
      </c>
      <c r="B33" s="3">
        <v>68</v>
      </c>
      <c r="C33" s="3">
        <v>194</v>
      </c>
      <c r="D33" s="3">
        <v>19</v>
      </c>
      <c r="E33" s="3">
        <v>59</v>
      </c>
      <c r="F33" s="3">
        <v>68</v>
      </c>
      <c r="G33" s="3">
        <v>202</v>
      </c>
      <c r="H33" s="3">
        <v>45</v>
      </c>
      <c r="I33" s="3">
        <v>160</v>
      </c>
      <c r="J33" s="3">
        <v>27</v>
      </c>
      <c r="K33" s="3">
        <v>79</v>
      </c>
      <c r="L33" s="3">
        <v>31</v>
      </c>
      <c r="M33" s="3">
        <v>145</v>
      </c>
      <c r="N33" s="3">
        <v>27</v>
      </c>
      <c r="O33" s="3">
        <v>84</v>
      </c>
      <c r="P33" s="3">
        <v>5</v>
      </c>
      <c r="Q33" s="3">
        <v>11</v>
      </c>
      <c r="R33" s="3">
        <v>0</v>
      </c>
      <c r="S33" s="3">
        <v>1</v>
      </c>
      <c r="T33" s="3">
        <v>0</v>
      </c>
      <c r="U33" s="3">
        <v>0</v>
      </c>
      <c r="V33" s="6">
        <f t="shared" si="0"/>
        <v>1225</v>
      </c>
    </row>
    <row r="34" spans="1:22" ht="12.75">
      <c r="A34" t="s">
        <v>557</v>
      </c>
      <c r="B34" s="3">
        <v>0</v>
      </c>
      <c r="C34" s="3">
        <v>0</v>
      </c>
      <c r="D34" s="3">
        <v>0</v>
      </c>
      <c r="E34" s="3">
        <v>0</v>
      </c>
      <c r="F34" s="3">
        <v>0</v>
      </c>
      <c r="G34" s="3">
        <v>0</v>
      </c>
      <c r="H34" s="3">
        <v>0</v>
      </c>
      <c r="I34" s="3">
        <v>0</v>
      </c>
      <c r="J34" s="3">
        <v>0</v>
      </c>
      <c r="K34" s="3">
        <v>0</v>
      </c>
      <c r="L34" s="3">
        <v>0</v>
      </c>
      <c r="M34" s="3">
        <v>1</v>
      </c>
      <c r="N34" s="3">
        <v>0</v>
      </c>
      <c r="O34" s="3">
        <v>1</v>
      </c>
      <c r="P34" s="3">
        <v>0</v>
      </c>
      <c r="Q34" s="3">
        <v>0</v>
      </c>
      <c r="R34" s="3">
        <v>0</v>
      </c>
      <c r="S34" s="3">
        <v>0</v>
      </c>
      <c r="T34" s="3">
        <v>0</v>
      </c>
      <c r="U34" s="3">
        <v>0</v>
      </c>
      <c r="V34" s="6">
        <f t="shared" si="0"/>
        <v>2</v>
      </c>
    </row>
    <row r="35" spans="1:22" ht="12.75">
      <c r="A35" t="s">
        <v>558</v>
      </c>
      <c r="B35" s="3">
        <v>0</v>
      </c>
      <c r="C35" s="3">
        <v>0</v>
      </c>
      <c r="D35" s="3">
        <v>0</v>
      </c>
      <c r="E35" s="3">
        <v>0</v>
      </c>
      <c r="F35" s="3">
        <v>0</v>
      </c>
      <c r="G35" s="3">
        <v>0</v>
      </c>
      <c r="H35" s="3">
        <v>0</v>
      </c>
      <c r="I35" s="3">
        <v>0</v>
      </c>
      <c r="J35" s="3">
        <v>0</v>
      </c>
      <c r="K35" s="3">
        <v>0</v>
      </c>
      <c r="L35" s="3">
        <v>3</v>
      </c>
      <c r="M35" s="3">
        <v>0</v>
      </c>
      <c r="N35" s="3">
        <v>2</v>
      </c>
      <c r="O35" s="3">
        <v>0</v>
      </c>
      <c r="P35" s="3">
        <v>1</v>
      </c>
      <c r="Q35" s="3">
        <v>1</v>
      </c>
      <c r="R35" s="3">
        <v>0</v>
      </c>
      <c r="S35" s="3">
        <v>0</v>
      </c>
      <c r="T35" s="3">
        <v>0</v>
      </c>
      <c r="U35" s="3">
        <v>0</v>
      </c>
      <c r="V35" s="6">
        <f t="shared" si="0"/>
        <v>7</v>
      </c>
    </row>
    <row r="36" spans="1:22" ht="12.75">
      <c r="A36" t="s">
        <v>559</v>
      </c>
      <c r="B36" s="3">
        <v>4</v>
      </c>
      <c r="C36" s="3">
        <v>14</v>
      </c>
      <c r="D36" s="3">
        <v>5</v>
      </c>
      <c r="E36" s="3">
        <v>5</v>
      </c>
      <c r="F36" s="3">
        <v>16</v>
      </c>
      <c r="G36" s="3">
        <v>31</v>
      </c>
      <c r="H36" s="3">
        <v>13</v>
      </c>
      <c r="I36" s="3">
        <v>27</v>
      </c>
      <c r="J36" s="3">
        <v>2</v>
      </c>
      <c r="K36" s="3">
        <v>2</v>
      </c>
      <c r="L36" s="3">
        <v>6</v>
      </c>
      <c r="M36" s="3">
        <v>7</v>
      </c>
      <c r="N36" s="3">
        <v>7</v>
      </c>
      <c r="O36" s="3">
        <v>3</v>
      </c>
      <c r="P36" s="3">
        <v>1</v>
      </c>
      <c r="Q36" s="3">
        <v>1</v>
      </c>
      <c r="R36" s="3">
        <v>0</v>
      </c>
      <c r="S36" s="3">
        <v>0</v>
      </c>
      <c r="T36" s="3">
        <v>0</v>
      </c>
      <c r="U36" s="3">
        <v>0</v>
      </c>
      <c r="V36" s="6">
        <f t="shared" si="0"/>
        <v>144</v>
      </c>
    </row>
    <row r="37" spans="1:22" ht="12.75">
      <c r="A37" t="s">
        <v>560</v>
      </c>
      <c r="B37" s="3">
        <v>0</v>
      </c>
      <c r="C37" s="3">
        <v>0</v>
      </c>
      <c r="D37" s="3">
        <v>0</v>
      </c>
      <c r="E37" s="3">
        <v>0</v>
      </c>
      <c r="F37" s="3">
        <v>0</v>
      </c>
      <c r="G37" s="3">
        <v>0</v>
      </c>
      <c r="H37" s="3">
        <v>0</v>
      </c>
      <c r="I37" s="3">
        <v>0</v>
      </c>
      <c r="J37" s="3">
        <v>0</v>
      </c>
      <c r="K37" s="3">
        <v>0</v>
      </c>
      <c r="L37" s="3">
        <v>1</v>
      </c>
      <c r="M37" s="3">
        <v>0</v>
      </c>
      <c r="N37" s="3">
        <v>2</v>
      </c>
      <c r="O37" s="3">
        <v>0</v>
      </c>
      <c r="P37" s="3">
        <v>2</v>
      </c>
      <c r="Q37" s="3">
        <v>0</v>
      </c>
      <c r="R37" s="3">
        <v>0</v>
      </c>
      <c r="S37" s="3">
        <v>0</v>
      </c>
      <c r="T37" s="3">
        <v>0</v>
      </c>
      <c r="U37" s="3">
        <v>0</v>
      </c>
      <c r="V37" s="6">
        <f t="shared" si="0"/>
        <v>5</v>
      </c>
    </row>
    <row r="38" spans="1:22" ht="12.75">
      <c r="A38" t="s">
        <v>561</v>
      </c>
      <c r="B38" s="3">
        <v>5</v>
      </c>
      <c r="C38" s="3">
        <v>2</v>
      </c>
      <c r="D38" s="3">
        <v>4</v>
      </c>
      <c r="E38" s="3">
        <v>5</v>
      </c>
      <c r="F38" s="3">
        <v>3</v>
      </c>
      <c r="G38" s="3">
        <v>4</v>
      </c>
      <c r="H38" s="3">
        <v>3</v>
      </c>
      <c r="I38" s="3">
        <v>0</v>
      </c>
      <c r="J38" s="3">
        <v>2</v>
      </c>
      <c r="K38" s="3">
        <v>0</v>
      </c>
      <c r="L38" s="3">
        <v>3</v>
      </c>
      <c r="M38" s="3">
        <v>0</v>
      </c>
      <c r="N38" s="3">
        <v>1</v>
      </c>
      <c r="O38" s="3">
        <v>3</v>
      </c>
      <c r="P38" s="3">
        <v>1</v>
      </c>
      <c r="Q38" s="3">
        <v>0</v>
      </c>
      <c r="R38" s="3">
        <v>0</v>
      </c>
      <c r="S38" s="3">
        <v>0</v>
      </c>
      <c r="T38" s="3">
        <v>0</v>
      </c>
      <c r="U38" s="3">
        <v>1</v>
      </c>
      <c r="V38" s="6">
        <f t="shared" si="0"/>
        <v>37</v>
      </c>
    </row>
    <row r="39" spans="1:22" ht="12.75">
      <c r="A39" t="s">
        <v>562</v>
      </c>
      <c r="B39" s="3">
        <v>0</v>
      </c>
      <c r="C39" s="3">
        <v>0</v>
      </c>
      <c r="D39" s="3">
        <v>0</v>
      </c>
      <c r="E39" s="3">
        <v>0</v>
      </c>
      <c r="F39" s="3">
        <v>0</v>
      </c>
      <c r="G39" s="3">
        <v>0</v>
      </c>
      <c r="H39" s="3">
        <v>1</v>
      </c>
      <c r="I39" s="3">
        <v>0</v>
      </c>
      <c r="J39" s="3">
        <v>0</v>
      </c>
      <c r="K39" s="3">
        <v>0</v>
      </c>
      <c r="L39" s="3">
        <v>1</v>
      </c>
      <c r="M39" s="3">
        <v>0</v>
      </c>
      <c r="N39" s="3">
        <v>0</v>
      </c>
      <c r="O39" s="3">
        <v>0</v>
      </c>
      <c r="P39" s="3">
        <v>0</v>
      </c>
      <c r="Q39" s="3">
        <v>0</v>
      </c>
      <c r="R39" s="3">
        <v>0</v>
      </c>
      <c r="S39" s="3">
        <v>0</v>
      </c>
      <c r="T39" s="3">
        <v>0</v>
      </c>
      <c r="U39" s="3">
        <v>0</v>
      </c>
      <c r="V39" s="6">
        <f aca="true" t="shared" si="1" ref="V39:V70">SUM(B39:U39)</f>
        <v>2</v>
      </c>
    </row>
    <row r="40" spans="1:22" ht="12.75">
      <c r="A40" t="s">
        <v>563</v>
      </c>
      <c r="B40" s="3">
        <v>2</v>
      </c>
      <c r="C40" s="3">
        <v>8</v>
      </c>
      <c r="D40" s="3">
        <v>0</v>
      </c>
      <c r="E40" s="3">
        <v>7</v>
      </c>
      <c r="F40" s="3">
        <v>3</v>
      </c>
      <c r="G40" s="3">
        <v>13</v>
      </c>
      <c r="H40" s="3">
        <v>7</v>
      </c>
      <c r="I40" s="3">
        <v>32</v>
      </c>
      <c r="J40" s="3">
        <v>1</v>
      </c>
      <c r="K40" s="3">
        <v>3</v>
      </c>
      <c r="L40" s="3">
        <v>0</v>
      </c>
      <c r="M40" s="3">
        <v>8</v>
      </c>
      <c r="N40" s="3">
        <v>0</v>
      </c>
      <c r="O40" s="3">
        <v>0</v>
      </c>
      <c r="P40" s="3">
        <v>0</v>
      </c>
      <c r="Q40" s="3">
        <v>0</v>
      </c>
      <c r="R40" s="3">
        <v>0</v>
      </c>
      <c r="S40" s="3">
        <v>0</v>
      </c>
      <c r="T40" s="3">
        <v>0</v>
      </c>
      <c r="U40" s="3">
        <v>0</v>
      </c>
      <c r="V40" s="6">
        <f t="shared" si="1"/>
        <v>84</v>
      </c>
    </row>
    <row r="41" spans="1:22" ht="12.75">
      <c r="A41" t="s">
        <v>564</v>
      </c>
      <c r="B41" s="3">
        <v>0</v>
      </c>
      <c r="C41" s="3">
        <v>0</v>
      </c>
      <c r="D41" s="3">
        <v>0</v>
      </c>
      <c r="E41" s="3">
        <v>0</v>
      </c>
      <c r="F41" s="3">
        <v>0</v>
      </c>
      <c r="G41" s="3">
        <v>0</v>
      </c>
      <c r="H41" s="3">
        <v>0</v>
      </c>
      <c r="I41" s="3">
        <v>1</v>
      </c>
      <c r="J41" s="3">
        <v>0</v>
      </c>
      <c r="K41" s="3">
        <v>0</v>
      </c>
      <c r="L41" s="3">
        <v>0</v>
      </c>
      <c r="M41" s="3">
        <v>0</v>
      </c>
      <c r="N41" s="3">
        <v>0</v>
      </c>
      <c r="O41" s="3">
        <v>0</v>
      </c>
      <c r="P41" s="3">
        <v>0</v>
      </c>
      <c r="Q41" s="3">
        <v>0</v>
      </c>
      <c r="R41" s="3">
        <v>0</v>
      </c>
      <c r="S41" s="3">
        <v>0</v>
      </c>
      <c r="T41" s="3">
        <v>0</v>
      </c>
      <c r="U41" s="3">
        <v>0</v>
      </c>
      <c r="V41" s="6">
        <f t="shared" si="1"/>
        <v>1</v>
      </c>
    </row>
    <row r="42" spans="1:22" ht="12.75">
      <c r="A42" t="s">
        <v>565</v>
      </c>
      <c r="B42" s="3">
        <v>1</v>
      </c>
      <c r="C42" s="3">
        <v>0</v>
      </c>
      <c r="D42" s="3">
        <v>0</v>
      </c>
      <c r="E42" s="3">
        <v>0</v>
      </c>
      <c r="F42" s="3">
        <v>0</v>
      </c>
      <c r="G42" s="3">
        <v>0</v>
      </c>
      <c r="H42" s="3">
        <v>1</v>
      </c>
      <c r="I42" s="3">
        <v>0</v>
      </c>
      <c r="J42" s="3">
        <v>0</v>
      </c>
      <c r="K42" s="3">
        <v>0</v>
      </c>
      <c r="L42" s="3">
        <v>0</v>
      </c>
      <c r="M42" s="3">
        <v>0</v>
      </c>
      <c r="N42" s="3">
        <v>0</v>
      </c>
      <c r="O42" s="3">
        <v>0</v>
      </c>
      <c r="P42" s="3">
        <v>0</v>
      </c>
      <c r="Q42" s="3">
        <v>0</v>
      </c>
      <c r="R42" s="3">
        <v>0</v>
      </c>
      <c r="S42" s="3">
        <v>0</v>
      </c>
      <c r="T42" s="3">
        <v>0</v>
      </c>
      <c r="U42" s="3">
        <v>0</v>
      </c>
      <c r="V42" s="6">
        <f t="shared" si="1"/>
        <v>2</v>
      </c>
    </row>
    <row r="43" spans="1:22" ht="12.75">
      <c r="A43" t="s">
        <v>566</v>
      </c>
      <c r="B43" s="3">
        <v>1</v>
      </c>
      <c r="C43" s="3">
        <v>1</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6">
        <f t="shared" si="1"/>
        <v>2</v>
      </c>
    </row>
    <row r="44" spans="1:22" ht="12.75">
      <c r="A44" t="s">
        <v>567</v>
      </c>
      <c r="B44" s="3">
        <v>0</v>
      </c>
      <c r="C44" s="3">
        <v>0</v>
      </c>
      <c r="D44" s="3">
        <v>0</v>
      </c>
      <c r="E44" s="3">
        <v>0</v>
      </c>
      <c r="F44" s="3">
        <v>0</v>
      </c>
      <c r="G44" s="3">
        <v>0</v>
      </c>
      <c r="H44" s="3">
        <v>0</v>
      </c>
      <c r="I44" s="3">
        <v>0</v>
      </c>
      <c r="J44" s="3">
        <v>1</v>
      </c>
      <c r="K44" s="3">
        <v>0</v>
      </c>
      <c r="L44" s="3">
        <v>0</v>
      </c>
      <c r="M44" s="3">
        <v>0</v>
      </c>
      <c r="N44" s="3">
        <v>0</v>
      </c>
      <c r="O44" s="3">
        <v>0</v>
      </c>
      <c r="P44" s="3">
        <v>0</v>
      </c>
      <c r="Q44" s="3">
        <v>0</v>
      </c>
      <c r="R44" s="3">
        <v>0</v>
      </c>
      <c r="S44" s="3">
        <v>0</v>
      </c>
      <c r="T44" s="3">
        <v>0</v>
      </c>
      <c r="U44" s="3">
        <v>0</v>
      </c>
      <c r="V44" s="6">
        <f t="shared" si="1"/>
        <v>1</v>
      </c>
    </row>
    <row r="45" spans="1:22" ht="12.75">
      <c r="A45" t="s">
        <v>568</v>
      </c>
      <c r="B45" s="3">
        <v>0</v>
      </c>
      <c r="C45" s="3">
        <v>0</v>
      </c>
      <c r="D45" s="3">
        <v>0</v>
      </c>
      <c r="E45" s="3">
        <v>0</v>
      </c>
      <c r="F45" s="3">
        <v>0</v>
      </c>
      <c r="G45" s="3">
        <v>0</v>
      </c>
      <c r="H45" s="3">
        <v>0</v>
      </c>
      <c r="I45" s="3">
        <v>1</v>
      </c>
      <c r="J45" s="3">
        <v>0</v>
      </c>
      <c r="K45" s="3">
        <v>0</v>
      </c>
      <c r="L45" s="3">
        <v>0</v>
      </c>
      <c r="M45" s="3">
        <v>0</v>
      </c>
      <c r="N45" s="3">
        <v>0</v>
      </c>
      <c r="O45" s="3">
        <v>0</v>
      </c>
      <c r="P45" s="3">
        <v>0</v>
      </c>
      <c r="Q45" s="3">
        <v>0</v>
      </c>
      <c r="R45" s="3">
        <v>0</v>
      </c>
      <c r="S45" s="3">
        <v>0</v>
      </c>
      <c r="T45" s="3">
        <v>0</v>
      </c>
      <c r="U45" s="3">
        <v>0</v>
      </c>
      <c r="V45" s="6">
        <f t="shared" si="1"/>
        <v>1</v>
      </c>
    </row>
    <row r="46" spans="1:22" ht="12.75">
      <c r="A46" t="s">
        <v>569</v>
      </c>
      <c r="B46" s="3">
        <v>0</v>
      </c>
      <c r="C46" s="3">
        <v>0</v>
      </c>
      <c r="D46" s="3">
        <v>0</v>
      </c>
      <c r="E46" s="3">
        <v>0</v>
      </c>
      <c r="F46" s="3">
        <v>0</v>
      </c>
      <c r="G46" s="3">
        <v>0</v>
      </c>
      <c r="H46" s="3">
        <v>0</v>
      </c>
      <c r="I46" s="3">
        <v>0</v>
      </c>
      <c r="J46" s="3">
        <v>0</v>
      </c>
      <c r="K46" s="3">
        <v>0</v>
      </c>
      <c r="L46" s="3">
        <v>0</v>
      </c>
      <c r="M46" s="3">
        <v>0</v>
      </c>
      <c r="N46" s="3">
        <v>0</v>
      </c>
      <c r="O46" s="3">
        <v>1</v>
      </c>
      <c r="P46" s="3">
        <v>0</v>
      </c>
      <c r="Q46" s="3">
        <v>0</v>
      </c>
      <c r="R46" s="3">
        <v>0</v>
      </c>
      <c r="S46" s="3">
        <v>0</v>
      </c>
      <c r="T46" s="3">
        <v>0</v>
      </c>
      <c r="U46" s="3">
        <v>0</v>
      </c>
      <c r="V46" s="6">
        <f t="shared" si="1"/>
        <v>1</v>
      </c>
    </row>
    <row r="47" spans="1:22" ht="12.75">
      <c r="A47" t="s">
        <v>570</v>
      </c>
      <c r="B47" s="3">
        <v>0</v>
      </c>
      <c r="C47" s="3">
        <v>0</v>
      </c>
      <c r="D47" s="3">
        <v>0</v>
      </c>
      <c r="E47" s="3">
        <v>0</v>
      </c>
      <c r="F47" s="3">
        <v>0</v>
      </c>
      <c r="G47" s="3">
        <v>0</v>
      </c>
      <c r="H47" s="3">
        <v>0</v>
      </c>
      <c r="I47" s="3">
        <v>0</v>
      </c>
      <c r="J47" s="3">
        <v>0</v>
      </c>
      <c r="K47" s="3">
        <v>0</v>
      </c>
      <c r="L47" s="3">
        <v>0</v>
      </c>
      <c r="M47" s="3">
        <v>0</v>
      </c>
      <c r="N47" s="3">
        <v>0</v>
      </c>
      <c r="O47" s="3">
        <v>4</v>
      </c>
      <c r="P47" s="3">
        <v>0</v>
      </c>
      <c r="Q47" s="3">
        <v>0</v>
      </c>
      <c r="R47" s="3">
        <v>0</v>
      </c>
      <c r="S47" s="3">
        <v>0</v>
      </c>
      <c r="T47" s="3">
        <v>0</v>
      </c>
      <c r="U47" s="3">
        <v>0</v>
      </c>
      <c r="V47" s="6">
        <f t="shared" si="1"/>
        <v>4</v>
      </c>
    </row>
    <row r="48" spans="1:22" ht="12.75">
      <c r="A48" t="s">
        <v>571</v>
      </c>
      <c r="B48" s="3">
        <v>0</v>
      </c>
      <c r="C48" s="3">
        <v>1</v>
      </c>
      <c r="D48" s="3">
        <v>0</v>
      </c>
      <c r="E48" s="3">
        <v>2</v>
      </c>
      <c r="F48" s="3">
        <v>0</v>
      </c>
      <c r="G48" s="3">
        <v>4</v>
      </c>
      <c r="H48" s="3">
        <v>0</v>
      </c>
      <c r="I48" s="3">
        <v>0</v>
      </c>
      <c r="J48" s="3">
        <v>0</v>
      </c>
      <c r="K48" s="3">
        <v>2</v>
      </c>
      <c r="L48" s="3">
        <v>1</v>
      </c>
      <c r="M48" s="3">
        <v>3</v>
      </c>
      <c r="N48" s="3">
        <v>1</v>
      </c>
      <c r="O48" s="3">
        <v>7</v>
      </c>
      <c r="P48" s="3">
        <v>0</v>
      </c>
      <c r="Q48" s="3">
        <v>0</v>
      </c>
      <c r="R48" s="3">
        <v>0</v>
      </c>
      <c r="S48" s="3">
        <v>0</v>
      </c>
      <c r="T48" s="3">
        <v>0</v>
      </c>
      <c r="U48" s="3">
        <v>0</v>
      </c>
      <c r="V48" s="6">
        <f t="shared" si="1"/>
        <v>21</v>
      </c>
    </row>
    <row r="49" spans="1:22" ht="12.75">
      <c r="A49" t="s">
        <v>572</v>
      </c>
      <c r="B49" s="3">
        <v>0</v>
      </c>
      <c r="C49" s="3">
        <v>0</v>
      </c>
      <c r="D49" s="3">
        <v>0</v>
      </c>
      <c r="E49" s="3">
        <v>0</v>
      </c>
      <c r="F49" s="3">
        <v>0</v>
      </c>
      <c r="G49" s="3">
        <v>0</v>
      </c>
      <c r="H49" s="3">
        <v>0</v>
      </c>
      <c r="I49" s="3">
        <v>0</v>
      </c>
      <c r="J49" s="3">
        <v>0</v>
      </c>
      <c r="K49" s="3">
        <v>0</v>
      </c>
      <c r="L49" s="3">
        <v>0</v>
      </c>
      <c r="M49" s="3">
        <v>0</v>
      </c>
      <c r="N49" s="3">
        <v>1</v>
      </c>
      <c r="O49" s="3">
        <v>0</v>
      </c>
      <c r="P49" s="3">
        <v>0</v>
      </c>
      <c r="Q49" s="3">
        <v>0</v>
      </c>
      <c r="R49" s="3">
        <v>2</v>
      </c>
      <c r="S49" s="3">
        <v>0</v>
      </c>
      <c r="T49" s="3">
        <v>0</v>
      </c>
      <c r="U49" s="3">
        <v>0</v>
      </c>
      <c r="V49" s="6">
        <f t="shared" si="1"/>
        <v>3</v>
      </c>
    </row>
    <row r="50" spans="1:22" ht="12.75">
      <c r="A50" t="s">
        <v>573</v>
      </c>
      <c r="B50" s="3">
        <v>4</v>
      </c>
      <c r="C50" s="3">
        <v>1</v>
      </c>
      <c r="D50" s="3">
        <v>0</v>
      </c>
      <c r="E50" s="3">
        <v>1</v>
      </c>
      <c r="F50" s="3">
        <v>1</v>
      </c>
      <c r="G50" s="3">
        <v>0</v>
      </c>
      <c r="H50" s="3">
        <v>0</v>
      </c>
      <c r="I50" s="3">
        <v>0</v>
      </c>
      <c r="J50" s="3">
        <v>0</v>
      </c>
      <c r="K50" s="3">
        <v>0</v>
      </c>
      <c r="L50" s="3">
        <v>1</v>
      </c>
      <c r="M50" s="3">
        <v>0</v>
      </c>
      <c r="N50" s="3">
        <v>1</v>
      </c>
      <c r="O50" s="3">
        <v>1</v>
      </c>
      <c r="P50" s="3">
        <v>1</v>
      </c>
      <c r="Q50" s="3">
        <v>0</v>
      </c>
      <c r="R50" s="3">
        <v>0</v>
      </c>
      <c r="S50" s="3">
        <v>0</v>
      </c>
      <c r="T50" s="3">
        <v>0</v>
      </c>
      <c r="U50" s="3">
        <v>0</v>
      </c>
      <c r="V50" s="6">
        <f t="shared" si="1"/>
        <v>11</v>
      </c>
    </row>
    <row r="51" spans="1:22" ht="12.75">
      <c r="A51" t="s">
        <v>574</v>
      </c>
      <c r="B51" s="3">
        <v>9</v>
      </c>
      <c r="C51" s="3">
        <v>5</v>
      </c>
      <c r="D51" s="3">
        <v>1</v>
      </c>
      <c r="E51" s="3">
        <v>0</v>
      </c>
      <c r="F51" s="3">
        <v>1</v>
      </c>
      <c r="G51" s="3">
        <v>0</v>
      </c>
      <c r="H51" s="3">
        <v>0</v>
      </c>
      <c r="I51" s="3">
        <v>0</v>
      </c>
      <c r="J51" s="3">
        <v>0</v>
      </c>
      <c r="K51" s="3">
        <v>0</v>
      </c>
      <c r="L51" s="3">
        <v>0</v>
      </c>
      <c r="M51" s="3">
        <v>0</v>
      </c>
      <c r="N51" s="3">
        <v>1</v>
      </c>
      <c r="O51" s="3">
        <v>0</v>
      </c>
      <c r="P51" s="3">
        <v>0</v>
      </c>
      <c r="Q51" s="3">
        <v>0</v>
      </c>
      <c r="R51" s="3">
        <v>0</v>
      </c>
      <c r="S51" s="3">
        <v>0</v>
      </c>
      <c r="T51" s="3">
        <v>0</v>
      </c>
      <c r="U51" s="3">
        <v>0</v>
      </c>
      <c r="V51" s="6">
        <f t="shared" si="1"/>
        <v>17</v>
      </c>
    </row>
    <row r="52" spans="1:22" ht="12.75">
      <c r="A52" t="s">
        <v>575</v>
      </c>
      <c r="B52" s="3">
        <v>0</v>
      </c>
      <c r="C52" s="3">
        <v>0</v>
      </c>
      <c r="D52" s="3">
        <v>0</v>
      </c>
      <c r="E52" s="3">
        <v>0</v>
      </c>
      <c r="F52" s="3">
        <v>2</v>
      </c>
      <c r="G52" s="3">
        <v>1</v>
      </c>
      <c r="H52" s="3">
        <v>0</v>
      </c>
      <c r="I52" s="3">
        <v>1</v>
      </c>
      <c r="J52" s="3">
        <v>0</v>
      </c>
      <c r="K52" s="3">
        <v>0</v>
      </c>
      <c r="L52" s="3">
        <v>0</v>
      </c>
      <c r="M52" s="3">
        <v>0</v>
      </c>
      <c r="N52" s="3">
        <v>1</v>
      </c>
      <c r="O52" s="3">
        <v>0</v>
      </c>
      <c r="P52" s="3">
        <v>0</v>
      </c>
      <c r="Q52" s="3">
        <v>0</v>
      </c>
      <c r="R52" s="3">
        <v>0</v>
      </c>
      <c r="S52" s="3">
        <v>0</v>
      </c>
      <c r="T52" s="3">
        <v>0</v>
      </c>
      <c r="U52" s="3">
        <v>0</v>
      </c>
      <c r="V52" s="6">
        <f t="shared" si="1"/>
        <v>5</v>
      </c>
    </row>
    <row r="53" spans="1:22" ht="12.75">
      <c r="A53" t="s">
        <v>576</v>
      </c>
      <c r="B53" s="3">
        <v>0</v>
      </c>
      <c r="C53" s="3">
        <v>0</v>
      </c>
      <c r="D53" s="3">
        <v>0</v>
      </c>
      <c r="E53" s="3">
        <v>0</v>
      </c>
      <c r="F53" s="3">
        <v>1</v>
      </c>
      <c r="G53" s="3">
        <v>0</v>
      </c>
      <c r="H53" s="3">
        <v>0</v>
      </c>
      <c r="I53" s="3">
        <v>0</v>
      </c>
      <c r="J53" s="3">
        <v>0</v>
      </c>
      <c r="K53" s="3">
        <v>0</v>
      </c>
      <c r="L53" s="3">
        <v>2</v>
      </c>
      <c r="M53" s="3">
        <v>0</v>
      </c>
      <c r="N53" s="3">
        <v>1</v>
      </c>
      <c r="O53" s="3">
        <v>0</v>
      </c>
      <c r="P53" s="3">
        <v>0</v>
      </c>
      <c r="Q53" s="3">
        <v>0</v>
      </c>
      <c r="R53" s="3">
        <v>0</v>
      </c>
      <c r="S53" s="3">
        <v>0</v>
      </c>
      <c r="T53" s="3">
        <v>0</v>
      </c>
      <c r="U53" s="3">
        <v>0</v>
      </c>
      <c r="V53" s="6">
        <f t="shared" si="1"/>
        <v>4</v>
      </c>
    </row>
    <row r="54" spans="1:22" ht="12.75">
      <c r="A54" t="s">
        <v>577</v>
      </c>
      <c r="B54" s="3">
        <v>4</v>
      </c>
      <c r="C54" s="3">
        <v>1</v>
      </c>
      <c r="D54" s="3">
        <v>0</v>
      </c>
      <c r="E54" s="3">
        <v>0</v>
      </c>
      <c r="F54" s="3">
        <v>0</v>
      </c>
      <c r="G54" s="3">
        <v>1</v>
      </c>
      <c r="H54" s="3">
        <v>0</v>
      </c>
      <c r="I54" s="3">
        <v>0</v>
      </c>
      <c r="J54" s="3">
        <v>0</v>
      </c>
      <c r="K54" s="3">
        <v>0</v>
      </c>
      <c r="L54" s="3">
        <v>1</v>
      </c>
      <c r="M54" s="3">
        <v>0</v>
      </c>
      <c r="N54" s="3">
        <v>0</v>
      </c>
      <c r="O54" s="3">
        <v>0</v>
      </c>
      <c r="P54" s="3">
        <v>0</v>
      </c>
      <c r="Q54" s="3">
        <v>0</v>
      </c>
      <c r="R54" s="3">
        <v>0</v>
      </c>
      <c r="S54" s="3">
        <v>0</v>
      </c>
      <c r="T54" s="3">
        <v>0</v>
      </c>
      <c r="U54" s="3">
        <v>0</v>
      </c>
      <c r="V54" s="6">
        <f t="shared" si="1"/>
        <v>7</v>
      </c>
    </row>
    <row r="55" spans="1:22" ht="12.75">
      <c r="A55" t="s">
        <v>578</v>
      </c>
      <c r="B55" s="3">
        <v>6</v>
      </c>
      <c r="C55" s="3">
        <v>19</v>
      </c>
      <c r="D55" s="3">
        <v>3</v>
      </c>
      <c r="E55" s="3">
        <v>5</v>
      </c>
      <c r="F55" s="3">
        <v>6</v>
      </c>
      <c r="G55" s="3">
        <v>40</v>
      </c>
      <c r="H55" s="3">
        <v>2</v>
      </c>
      <c r="I55" s="3">
        <v>5</v>
      </c>
      <c r="J55" s="3">
        <v>0</v>
      </c>
      <c r="K55" s="3">
        <v>1</v>
      </c>
      <c r="L55" s="3">
        <v>5</v>
      </c>
      <c r="M55" s="3">
        <v>8</v>
      </c>
      <c r="N55" s="3">
        <v>4</v>
      </c>
      <c r="O55" s="3">
        <v>2</v>
      </c>
      <c r="P55" s="3">
        <v>1</v>
      </c>
      <c r="Q55" s="3">
        <v>1</v>
      </c>
      <c r="R55" s="3">
        <v>3</v>
      </c>
      <c r="S55" s="3">
        <v>0</v>
      </c>
      <c r="T55" s="3">
        <v>0</v>
      </c>
      <c r="U55" s="3">
        <v>0</v>
      </c>
      <c r="V55" s="6">
        <f t="shared" si="1"/>
        <v>111</v>
      </c>
    </row>
    <row r="56" spans="1:22" ht="12.75">
      <c r="A56" t="s">
        <v>579</v>
      </c>
      <c r="B56" s="3">
        <v>10</v>
      </c>
      <c r="C56" s="3">
        <v>8</v>
      </c>
      <c r="D56" s="3">
        <v>6</v>
      </c>
      <c r="E56" s="3">
        <v>6</v>
      </c>
      <c r="F56" s="3">
        <v>7</v>
      </c>
      <c r="G56" s="3">
        <v>12</v>
      </c>
      <c r="H56" s="3">
        <v>1</v>
      </c>
      <c r="I56" s="3">
        <v>1</v>
      </c>
      <c r="J56" s="3">
        <v>1</v>
      </c>
      <c r="K56" s="3">
        <v>1</v>
      </c>
      <c r="L56" s="3">
        <v>4</v>
      </c>
      <c r="M56" s="3">
        <v>1</v>
      </c>
      <c r="N56" s="3">
        <v>5</v>
      </c>
      <c r="O56" s="3">
        <v>0</v>
      </c>
      <c r="P56" s="3">
        <v>1</v>
      </c>
      <c r="Q56" s="3">
        <v>0</v>
      </c>
      <c r="R56" s="3">
        <v>0</v>
      </c>
      <c r="S56" s="3">
        <v>0</v>
      </c>
      <c r="T56" s="3">
        <v>0</v>
      </c>
      <c r="U56" s="3">
        <v>0</v>
      </c>
      <c r="V56" s="6">
        <f t="shared" si="1"/>
        <v>64</v>
      </c>
    </row>
    <row r="57" spans="1:22" ht="12.75">
      <c r="A57" t="s">
        <v>580</v>
      </c>
      <c r="B57" s="3">
        <v>0</v>
      </c>
      <c r="C57" s="3">
        <v>0</v>
      </c>
      <c r="D57" s="3">
        <v>0</v>
      </c>
      <c r="E57" s="3">
        <v>0</v>
      </c>
      <c r="F57" s="3">
        <v>0</v>
      </c>
      <c r="G57" s="3">
        <v>0</v>
      </c>
      <c r="H57" s="3">
        <v>0</v>
      </c>
      <c r="I57" s="3">
        <v>0</v>
      </c>
      <c r="J57" s="3">
        <v>0</v>
      </c>
      <c r="K57" s="3">
        <v>0</v>
      </c>
      <c r="L57" s="3">
        <v>0</v>
      </c>
      <c r="M57" s="3">
        <v>0</v>
      </c>
      <c r="N57" s="3">
        <v>1</v>
      </c>
      <c r="O57" s="3">
        <v>0</v>
      </c>
      <c r="P57" s="3">
        <v>0</v>
      </c>
      <c r="Q57" s="3">
        <v>0</v>
      </c>
      <c r="R57" s="3">
        <v>0</v>
      </c>
      <c r="S57" s="3">
        <v>0</v>
      </c>
      <c r="T57" s="3">
        <v>0</v>
      </c>
      <c r="U57" s="3">
        <v>0</v>
      </c>
      <c r="V57" s="6">
        <f t="shared" si="1"/>
        <v>1</v>
      </c>
    </row>
    <row r="58" spans="1:22" ht="12.75">
      <c r="A58" t="s">
        <v>581</v>
      </c>
      <c r="B58" s="3">
        <v>9</v>
      </c>
      <c r="C58" s="3">
        <v>4</v>
      </c>
      <c r="D58" s="3">
        <v>0</v>
      </c>
      <c r="E58" s="3">
        <v>3</v>
      </c>
      <c r="F58" s="3">
        <v>14</v>
      </c>
      <c r="G58" s="3">
        <v>53</v>
      </c>
      <c r="H58" s="3">
        <v>0</v>
      </c>
      <c r="I58" s="3">
        <v>1</v>
      </c>
      <c r="J58" s="3">
        <v>0</v>
      </c>
      <c r="K58" s="3">
        <v>0</v>
      </c>
      <c r="L58" s="3">
        <v>0</v>
      </c>
      <c r="M58" s="3">
        <v>5</v>
      </c>
      <c r="N58" s="3">
        <v>0</v>
      </c>
      <c r="O58" s="3">
        <v>1</v>
      </c>
      <c r="P58" s="3">
        <v>0</v>
      </c>
      <c r="Q58" s="3">
        <v>0</v>
      </c>
      <c r="R58" s="3">
        <v>0</v>
      </c>
      <c r="S58" s="3">
        <v>0</v>
      </c>
      <c r="T58" s="3">
        <v>0</v>
      </c>
      <c r="U58" s="3">
        <v>0</v>
      </c>
      <c r="V58" s="6">
        <f t="shared" si="1"/>
        <v>90</v>
      </c>
    </row>
    <row r="59" spans="1:22" ht="12.75">
      <c r="A59" t="s">
        <v>582</v>
      </c>
      <c r="B59" s="3">
        <v>0</v>
      </c>
      <c r="C59" s="3">
        <v>0</v>
      </c>
      <c r="D59" s="3">
        <v>0</v>
      </c>
      <c r="E59" s="3">
        <v>0</v>
      </c>
      <c r="F59" s="3">
        <v>0</v>
      </c>
      <c r="G59" s="3">
        <v>0</v>
      </c>
      <c r="H59" s="3">
        <v>0</v>
      </c>
      <c r="I59" s="3">
        <v>0</v>
      </c>
      <c r="J59" s="3">
        <v>0</v>
      </c>
      <c r="K59" s="3">
        <v>0</v>
      </c>
      <c r="L59" s="3">
        <v>1</v>
      </c>
      <c r="M59" s="3">
        <v>0</v>
      </c>
      <c r="N59" s="3">
        <v>0</v>
      </c>
      <c r="O59" s="3">
        <v>0</v>
      </c>
      <c r="P59" s="3">
        <v>0</v>
      </c>
      <c r="Q59" s="3">
        <v>0</v>
      </c>
      <c r="R59" s="3">
        <v>0</v>
      </c>
      <c r="S59" s="3">
        <v>0</v>
      </c>
      <c r="T59" s="3">
        <v>0</v>
      </c>
      <c r="U59" s="3">
        <v>0</v>
      </c>
      <c r="V59" s="6">
        <f t="shared" si="1"/>
        <v>1</v>
      </c>
    </row>
    <row r="60" spans="1:22" ht="12.75">
      <c r="A60" t="s">
        <v>583</v>
      </c>
      <c r="B60" s="3">
        <v>0</v>
      </c>
      <c r="C60" s="3">
        <v>2</v>
      </c>
      <c r="D60" s="3">
        <v>0</v>
      </c>
      <c r="E60" s="3">
        <v>0</v>
      </c>
      <c r="F60" s="3">
        <v>0</v>
      </c>
      <c r="G60" s="3">
        <v>3</v>
      </c>
      <c r="H60" s="3">
        <v>0</v>
      </c>
      <c r="I60" s="3">
        <v>1</v>
      </c>
      <c r="J60" s="3">
        <v>1</v>
      </c>
      <c r="K60" s="3">
        <v>1</v>
      </c>
      <c r="L60" s="3">
        <v>0</v>
      </c>
      <c r="M60" s="3">
        <v>1</v>
      </c>
      <c r="N60" s="3">
        <v>0</v>
      </c>
      <c r="O60" s="3">
        <v>0</v>
      </c>
      <c r="P60" s="3">
        <v>0</v>
      </c>
      <c r="Q60" s="3">
        <v>0</v>
      </c>
      <c r="R60" s="3">
        <v>0</v>
      </c>
      <c r="S60" s="3">
        <v>0</v>
      </c>
      <c r="T60" s="3">
        <v>0</v>
      </c>
      <c r="U60" s="3">
        <v>0</v>
      </c>
      <c r="V60" s="6">
        <f t="shared" si="1"/>
        <v>9</v>
      </c>
    </row>
    <row r="61" spans="1:22" ht="12.75">
      <c r="A61" t="s">
        <v>584</v>
      </c>
      <c r="B61" s="3">
        <v>0</v>
      </c>
      <c r="C61" s="3">
        <v>0</v>
      </c>
      <c r="D61" s="3">
        <v>0</v>
      </c>
      <c r="E61" s="3">
        <v>0</v>
      </c>
      <c r="F61" s="3">
        <v>0</v>
      </c>
      <c r="G61" s="3">
        <v>0</v>
      </c>
      <c r="H61" s="3">
        <v>0</v>
      </c>
      <c r="I61" s="3">
        <v>0</v>
      </c>
      <c r="J61" s="3">
        <v>0</v>
      </c>
      <c r="K61" s="3">
        <v>0</v>
      </c>
      <c r="L61" s="3">
        <v>1</v>
      </c>
      <c r="M61" s="3">
        <v>0</v>
      </c>
      <c r="N61" s="3">
        <v>0</v>
      </c>
      <c r="O61" s="3">
        <v>1</v>
      </c>
      <c r="P61" s="3">
        <v>0</v>
      </c>
      <c r="Q61" s="3">
        <v>0</v>
      </c>
      <c r="R61" s="3">
        <v>0</v>
      </c>
      <c r="S61" s="3">
        <v>0</v>
      </c>
      <c r="T61" s="3">
        <v>0</v>
      </c>
      <c r="U61" s="3">
        <v>0</v>
      </c>
      <c r="V61" s="6">
        <f t="shared" si="1"/>
        <v>2</v>
      </c>
    </row>
    <row r="62" spans="1:22" ht="12.75">
      <c r="A62" t="s">
        <v>585</v>
      </c>
      <c r="B62" s="3">
        <v>3</v>
      </c>
      <c r="C62" s="3">
        <v>4</v>
      </c>
      <c r="D62" s="3">
        <v>0</v>
      </c>
      <c r="E62" s="3">
        <v>4</v>
      </c>
      <c r="F62" s="3">
        <v>6</v>
      </c>
      <c r="G62" s="3">
        <v>20</v>
      </c>
      <c r="H62" s="3">
        <v>1</v>
      </c>
      <c r="I62" s="3">
        <v>0</v>
      </c>
      <c r="J62" s="3">
        <v>0</v>
      </c>
      <c r="K62" s="3">
        <v>1</v>
      </c>
      <c r="L62" s="3">
        <v>7</v>
      </c>
      <c r="M62" s="3">
        <v>9</v>
      </c>
      <c r="N62" s="3">
        <v>5</v>
      </c>
      <c r="O62" s="3">
        <v>3</v>
      </c>
      <c r="P62" s="3">
        <v>1</v>
      </c>
      <c r="Q62" s="3">
        <v>1</v>
      </c>
      <c r="R62" s="3">
        <v>2</v>
      </c>
      <c r="S62" s="3">
        <v>0</v>
      </c>
      <c r="T62" s="3">
        <v>0</v>
      </c>
      <c r="U62" s="3">
        <v>0</v>
      </c>
      <c r="V62" s="6">
        <f t="shared" si="1"/>
        <v>67</v>
      </c>
    </row>
    <row r="63" spans="1:22" ht="12.75">
      <c r="A63" t="s">
        <v>586</v>
      </c>
      <c r="B63" s="3">
        <v>5</v>
      </c>
      <c r="C63" s="3">
        <v>1</v>
      </c>
      <c r="D63" s="3">
        <v>2</v>
      </c>
      <c r="E63" s="3">
        <v>1</v>
      </c>
      <c r="F63" s="3">
        <v>21</v>
      </c>
      <c r="G63" s="3">
        <v>42</v>
      </c>
      <c r="H63" s="3">
        <v>3</v>
      </c>
      <c r="I63" s="3">
        <v>4</v>
      </c>
      <c r="J63" s="3">
        <v>1</v>
      </c>
      <c r="K63" s="3">
        <v>0</v>
      </c>
      <c r="L63" s="3">
        <v>8</v>
      </c>
      <c r="M63" s="3">
        <v>14</v>
      </c>
      <c r="N63" s="3">
        <v>9</v>
      </c>
      <c r="O63" s="3">
        <v>11</v>
      </c>
      <c r="P63" s="3">
        <v>0</v>
      </c>
      <c r="Q63" s="3">
        <v>1</v>
      </c>
      <c r="R63" s="3">
        <v>3</v>
      </c>
      <c r="S63" s="3">
        <v>0</v>
      </c>
      <c r="T63" s="3">
        <v>0</v>
      </c>
      <c r="U63" s="3">
        <v>0</v>
      </c>
      <c r="V63" s="6">
        <f t="shared" si="1"/>
        <v>126</v>
      </c>
    </row>
    <row r="64" spans="1:22" ht="12.75">
      <c r="A64" t="s">
        <v>587</v>
      </c>
      <c r="B64" s="3">
        <v>0</v>
      </c>
      <c r="C64" s="3">
        <v>0</v>
      </c>
      <c r="D64" s="3">
        <v>0</v>
      </c>
      <c r="E64" s="3">
        <v>0</v>
      </c>
      <c r="F64" s="3">
        <v>0</v>
      </c>
      <c r="G64" s="3">
        <v>0</v>
      </c>
      <c r="H64" s="3">
        <v>0</v>
      </c>
      <c r="I64" s="3">
        <v>0</v>
      </c>
      <c r="J64" s="3">
        <v>0</v>
      </c>
      <c r="K64" s="3">
        <v>0</v>
      </c>
      <c r="L64" s="3">
        <v>0</v>
      </c>
      <c r="M64" s="3">
        <v>0</v>
      </c>
      <c r="N64" s="3">
        <v>0</v>
      </c>
      <c r="O64" s="3">
        <v>2</v>
      </c>
      <c r="P64" s="3">
        <v>0</v>
      </c>
      <c r="Q64" s="3">
        <v>0</v>
      </c>
      <c r="R64" s="3">
        <v>0</v>
      </c>
      <c r="S64" s="3">
        <v>0</v>
      </c>
      <c r="T64" s="3">
        <v>0</v>
      </c>
      <c r="U64" s="3">
        <v>0</v>
      </c>
      <c r="V64" s="6">
        <f t="shared" si="1"/>
        <v>2</v>
      </c>
    </row>
    <row r="65" spans="1:22" ht="12.75">
      <c r="A65" t="s">
        <v>588</v>
      </c>
      <c r="B65" s="3">
        <v>0</v>
      </c>
      <c r="C65" s="3">
        <v>2</v>
      </c>
      <c r="D65" s="3">
        <v>1</v>
      </c>
      <c r="E65" s="3">
        <v>1</v>
      </c>
      <c r="F65" s="3">
        <v>3</v>
      </c>
      <c r="G65" s="3">
        <v>4</v>
      </c>
      <c r="H65" s="3">
        <v>0</v>
      </c>
      <c r="I65" s="3">
        <v>2</v>
      </c>
      <c r="J65" s="3">
        <v>0</v>
      </c>
      <c r="K65" s="3">
        <v>0</v>
      </c>
      <c r="L65" s="3">
        <v>6</v>
      </c>
      <c r="M65" s="3">
        <v>3</v>
      </c>
      <c r="N65" s="3">
        <v>1</v>
      </c>
      <c r="O65" s="3">
        <v>3</v>
      </c>
      <c r="P65" s="3">
        <v>1</v>
      </c>
      <c r="Q65" s="3">
        <v>0</v>
      </c>
      <c r="R65" s="3">
        <v>0</v>
      </c>
      <c r="S65" s="3">
        <v>1</v>
      </c>
      <c r="T65" s="3">
        <v>0</v>
      </c>
      <c r="U65" s="3">
        <v>0</v>
      </c>
      <c r="V65" s="6">
        <f t="shared" si="1"/>
        <v>28</v>
      </c>
    </row>
    <row r="66" spans="1:22" ht="12.75">
      <c r="A66" t="s">
        <v>589</v>
      </c>
      <c r="B66" s="3">
        <v>0</v>
      </c>
      <c r="C66" s="3">
        <v>0</v>
      </c>
      <c r="D66" s="3">
        <v>0</v>
      </c>
      <c r="E66" s="3">
        <v>1</v>
      </c>
      <c r="F66" s="3">
        <v>1</v>
      </c>
      <c r="G66" s="3">
        <v>3</v>
      </c>
      <c r="H66" s="3">
        <v>0</v>
      </c>
      <c r="I66" s="3">
        <v>0</v>
      </c>
      <c r="J66" s="3">
        <v>0</v>
      </c>
      <c r="K66" s="3">
        <v>0</v>
      </c>
      <c r="L66" s="3">
        <v>0</v>
      </c>
      <c r="M66" s="3">
        <v>0</v>
      </c>
      <c r="N66" s="3">
        <v>0</v>
      </c>
      <c r="O66" s="3">
        <v>0</v>
      </c>
      <c r="P66" s="3">
        <v>0</v>
      </c>
      <c r="Q66" s="3">
        <v>0</v>
      </c>
      <c r="R66" s="3">
        <v>0</v>
      </c>
      <c r="S66" s="3">
        <v>0</v>
      </c>
      <c r="T66" s="3">
        <v>0</v>
      </c>
      <c r="U66" s="3">
        <v>0</v>
      </c>
      <c r="V66" s="6">
        <f t="shared" si="1"/>
        <v>5</v>
      </c>
    </row>
    <row r="67" spans="1:22" ht="12.75">
      <c r="A67" s="2" t="s">
        <v>527</v>
      </c>
      <c r="B67" s="6">
        <f aca="true" t="shared" si="2" ref="B67:V67">SUM(B7:B66)</f>
        <v>201</v>
      </c>
      <c r="C67" s="6">
        <f t="shared" si="2"/>
        <v>383</v>
      </c>
      <c r="D67" s="6">
        <f t="shared" si="2"/>
        <v>68</v>
      </c>
      <c r="E67" s="6">
        <f t="shared" si="2"/>
        <v>132</v>
      </c>
      <c r="F67" s="6">
        <f t="shared" si="2"/>
        <v>215</v>
      </c>
      <c r="G67" s="6">
        <f t="shared" si="2"/>
        <v>478</v>
      </c>
      <c r="H67" s="6">
        <f t="shared" si="2"/>
        <v>109</v>
      </c>
      <c r="I67" s="6">
        <f t="shared" si="2"/>
        <v>266</v>
      </c>
      <c r="J67" s="6">
        <f t="shared" si="2"/>
        <v>59</v>
      </c>
      <c r="K67" s="6">
        <f t="shared" si="2"/>
        <v>115</v>
      </c>
      <c r="L67" s="6">
        <f t="shared" si="2"/>
        <v>142</v>
      </c>
      <c r="M67" s="6">
        <f t="shared" si="2"/>
        <v>239</v>
      </c>
      <c r="N67" s="6">
        <f t="shared" si="2"/>
        <v>109</v>
      </c>
      <c r="O67" s="6">
        <f t="shared" si="2"/>
        <v>147</v>
      </c>
      <c r="P67" s="6">
        <f t="shared" si="2"/>
        <v>21</v>
      </c>
      <c r="Q67" s="6">
        <f t="shared" si="2"/>
        <v>24</v>
      </c>
      <c r="R67" s="6">
        <f t="shared" si="2"/>
        <v>11</v>
      </c>
      <c r="S67" s="6">
        <f t="shared" si="2"/>
        <v>2</v>
      </c>
      <c r="T67" s="6">
        <f t="shared" si="2"/>
        <v>0</v>
      </c>
      <c r="U67" s="6">
        <f t="shared" si="2"/>
        <v>2</v>
      </c>
      <c r="V67" s="6">
        <f t="shared" si="2"/>
        <v>2723</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Z67"/>
  <sheetViews>
    <sheetView zoomScalePageLayoutView="0" workbookViewId="0" topLeftCell="A1">
      <selection activeCell="A1" sqref="A1"/>
    </sheetView>
  </sheetViews>
  <sheetFormatPr defaultColWidth="9.140625" defaultRowHeight="12.75"/>
  <sheetData>
    <row r="1" ht="18">
      <c r="A1" s="1" t="s">
        <v>768</v>
      </c>
    </row>
    <row r="5" spans="1:26" ht="12.75">
      <c r="A5" s="2" t="s">
        <v>769</v>
      </c>
      <c r="B5" s="2" t="s">
        <v>770</v>
      </c>
      <c r="D5" s="2" t="s">
        <v>771</v>
      </c>
      <c r="F5" s="2" t="s">
        <v>772</v>
      </c>
      <c r="H5" s="2" t="s">
        <v>773</v>
      </c>
      <c r="J5" s="2" t="s">
        <v>774</v>
      </c>
      <c r="L5" s="2" t="s">
        <v>775</v>
      </c>
      <c r="N5" s="2" t="s">
        <v>776</v>
      </c>
      <c r="P5" s="2" t="s">
        <v>777</v>
      </c>
      <c r="R5" s="2" t="s">
        <v>778</v>
      </c>
      <c r="T5" s="2" t="s">
        <v>779</v>
      </c>
      <c r="V5" s="2" t="s">
        <v>780</v>
      </c>
      <c r="X5" s="2" t="s">
        <v>781</v>
      </c>
      <c r="Z5" s="2" t="s">
        <v>527</v>
      </c>
    </row>
    <row r="6" spans="1:25" ht="12.75">
      <c r="A6" s="2" t="s">
        <v>522</v>
      </c>
      <c r="B6" t="s">
        <v>528</v>
      </c>
      <c r="C6" t="s">
        <v>529</v>
      </c>
      <c r="D6" t="s">
        <v>528</v>
      </c>
      <c r="E6" t="s">
        <v>529</v>
      </c>
      <c r="F6" t="s">
        <v>528</v>
      </c>
      <c r="G6" t="s">
        <v>529</v>
      </c>
      <c r="H6" t="s">
        <v>528</v>
      </c>
      <c r="I6" t="s">
        <v>529</v>
      </c>
      <c r="J6" t="s">
        <v>528</v>
      </c>
      <c r="K6" t="s">
        <v>529</v>
      </c>
      <c r="L6" t="s">
        <v>528</v>
      </c>
      <c r="M6" t="s">
        <v>529</v>
      </c>
      <c r="N6" t="s">
        <v>528</v>
      </c>
      <c r="O6" t="s">
        <v>529</v>
      </c>
      <c r="P6" t="s">
        <v>528</v>
      </c>
      <c r="Q6" t="s">
        <v>529</v>
      </c>
      <c r="R6" t="s">
        <v>528</v>
      </c>
      <c r="S6" t="s">
        <v>529</v>
      </c>
      <c r="T6" t="s">
        <v>528</v>
      </c>
      <c r="U6" t="s">
        <v>529</v>
      </c>
      <c r="V6" t="s">
        <v>528</v>
      </c>
      <c r="W6" t="s">
        <v>529</v>
      </c>
      <c r="X6" t="s">
        <v>528</v>
      </c>
      <c r="Y6" t="s">
        <v>529</v>
      </c>
    </row>
    <row r="7" spans="1:26" ht="12.75">
      <c r="A7" t="s">
        <v>530</v>
      </c>
      <c r="B7" s="3">
        <v>0</v>
      </c>
      <c r="C7" s="3">
        <v>0</v>
      </c>
      <c r="D7" s="3">
        <v>0</v>
      </c>
      <c r="E7" s="3">
        <v>0</v>
      </c>
      <c r="F7" s="3">
        <v>0</v>
      </c>
      <c r="G7" s="3">
        <v>0</v>
      </c>
      <c r="H7" s="3">
        <v>0</v>
      </c>
      <c r="I7" s="3">
        <v>0</v>
      </c>
      <c r="J7" s="3">
        <v>0</v>
      </c>
      <c r="K7" s="3">
        <v>0</v>
      </c>
      <c r="L7" s="3">
        <v>0</v>
      </c>
      <c r="M7" s="3">
        <v>0</v>
      </c>
      <c r="N7" s="3">
        <v>0</v>
      </c>
      <c r="O7" s="3">
        <v>0</v>
      </c>
      <c r="P7" s="3">
        <v>0</v>
      </c>
      <c r="Q7" s="3">
        <v>1</v>
      </c>
      <c r="R7" s="3">
        <v>0</v>
      </c>
      <c r="S7" s="3">
        <v>0</v>
      </c>
      <c r="T7" s="3">
        <v>0</v>
      </c>
      <c r="U7" s="3">
        <v>0</v>
      </c>
      <c r="V7" s="3">
        <v>0</v>
      </c>
      <c r="W7" s="3">
        <v>0</v>
      </c>
      <c r="X7" s="3">
        <v>0</v>
      </c>
      <c r="Y7" s="3">
        <v>0</v>
      </c>
      <c r="Z7" s="6">
        <f aca="true" t="shared" si="0" ref="Z7:Z38">SUM(B7:Y7)</f>
        <v>1</v>
      </c>
    </row>
    <row r="8" spans="1:26" ht="12.75">
      <c r="A8" t="s">
        <v>531</v>
      </c>
      <c r="B8" s="3">
        <v>0</v>
      </c>
      <c r="C8" s="3">
        <v>0</v>
      </c>
      <c r="D8" s="3">
        <v>0</v>
      </c>
      <c r="E8" s="3">
        <v>0</v>
      </c>
      <c r="F8" s="3">
        <v>0</v>
      </c>
      <c r="G8" s="3">
        <v>0</v>
      </c>
      <c r="H8" s="3">
        <v>0</v>
      </c>
      <c r="I8" s="3">
        <v>0</v>
      </c>
      <c r="J8" s="3">
        <v>0</v>
      </c>
      <c r="K8" s="3">
        <v>0</v>
      </c>
      <c r="L8" s="3">
        <v>0</v>
      </c>
      <c r="M8" s="3">
        <v>0</v>
      </c>
      <c r="N8" s="3">
        <v>0</v>
      </c>
      <c r="O8" s="3">
        <v>0</v>
      </c>
      <c r="P8" s="3">
        <v>0</v>
      </c>
      <c r="Q8" s="3">
        <v>0</v>
      </c>
      <c r="R8" s="3">
        <v>0</v>
      </c>
      <c r="S8" s="3">
        <v>0</v>
      </c>
      <c r="T8" s="3">
        <v>0</v>
      </c>
      <c r="U8" s="3">
        <v>1</v>
      </c>
      <c r="V8" s="3">
        <v>0</v>
      </c>
      <c r="W8" s="3">
        <v>0</v>
      </c>
      <c r="X8" s="3">
        <v>0</v>
      </c>
      <c r="Y8" s="3">
        <v>0</v>
      </c>
      <c r="Z8" s="6">
        <f t="shared" si="0"/>
        <v>1</v>
      </c>
    </row>
    <row r="9" spans="1:26" ht="12.75">
      <c r="A9" t="s">
        <v>532</v>
      </c>
      <c r="B9" s="3">
        <v>0</v>
      </c>
      <c r="C9" s="3">
        <v>0</v>
      </c>
      <c r="D9" s="3">
        <v>0</v>
      </c>
      <c r="E9" s="3">
        <v>0</v>
      </c>
      <c r="F9" s="3">
        <v>0</v>
      </c>
      <c r="G9" s="3">
        <v>0</v>
      </c>
      <c r="H9" s="3">
        <v>0</v>
      </c>
      <c r="I9" s="3">
        <v>0</v>
      </c>
      <c r="J9" s="3">
        <v>0</v>
      </c>
      <c r="K9" s="3">
        <v>0</v>
      </c>
      <c r="L9" s="3">
        <v>0</v>
      </c>
      <c r="M9" s="3">
        <v>0</v>
      </c>
      <c r="N9" s="3">
        <v>0</v>
      </c>
      <c r="O9" s="3">
        <v>0</v>
      </c>
      <c r="P9" s="3">
        <v>0</v>
      </c>
      <c r="Q9" s="3">
        <v>1</v>
      </c>
      <c r="R9" s="3">
        <v>0</v>
      </c>
      <c r="S9" s="3">
        <v>0</v>
      </c>
      <c r="T9" s="3">
        <v>0</v>
      </c>
      <c r="U9" s="3">
        <v>0</v>
      </c>
      <c r="V9" s="3">
        <v>0</v>
      </c>
      <c r="W9" s="3">
        <v>0</v>
      </c>
      <c r="X9" s="3">
        <v>0</v>
      </c>
      <c r="Y9" s="3">
        <v>0</v>
      </c>
      <c r="Z9" s="6">
        <f t="shared" si="0"/>
        <v>1</v>
      </c>
    </row>
    <row r="10" spans="1:26" ht="12.75">
      <c r="A10" t="s">
        <v>533</v>
      </c>
      <c r="B10" s="3">
        <v>0</v>
      </c>
      <c r="C10" s="3">
        <v>0</v>
      </c>
      <c r="D10" s="3">
        <v>0</v>
      </c>
      <c r="E10" s="3">
        <v>0</v>
      </c>
      <c r="F10" s="3">
        <v>0</v>
      </c>
      <c r="G10" s="3">
        <v>0</v>
      </c>
      <c r="H10" s="3">
        <v>0</v>
      </c>
      <c r="I10" s="3">
        <v>0</v>
      </c>
      <c r="J10" s="3">
        <v>0</v>
      </c>
      <c r="K10" s="3">
        <v>0</v>
      </c>
      <c r="L10" s="3">
        <v>0</v>
      </c>
      <c r="M10" s="3">
        <v>0</v>
      </c>
      <c r="N10" s="3">
        <v>0</v>
      </c>
      <c r="O10" s="3">
        <v>0</v>
      </c>
      <c r="P10" s="3">
        <v>2</v>
      </c>
      <c r="Q10" s="3">
        <v>1</v>
      </c>
      <c r="R10" s="3">
        <v>4</v>
      </c>
      <c r="S10" s="3">
        <v>2</v>
      </c>
      <c r="T10" s="3">
        <v>11</v>
      </c>
      <c r="U10" s="3">
        <v>4</v>
      </c>
      <c r="V10" s="3">
        <v>9</v>
      </c>
      <c r="W10" s="3">
        <v>1</v>
      </c>
      <c r="X10" s="3">
        <v>2</v>
      </c>
      <c r="Y10" s="3">
        <v>0</v>
      </c>
      <c r="Z10" s="6">
        <f t="shared" si="0"/>
        <v>36</v>
      </c>
    </row>
    <row r="11" spans="1:26" ht="12.75">
      <c r="A11" t="s">
        <v>534</v>
      </c>
      <c r="B11" s="3">
        <v>0</v>
      </c>
      <c r="C11" s="3">
        <v>0</v>
      </c>
      <c r="D11" s="3">
        <v>0</v>
      </c>
      <c r="E11" s="3">
        <v>0</v>
      </c>
      <c r="F11" s="3">
        <v>0</v>
      </c>
      <c r="G11" s="3">
        <v>0</v>
      </c>
      <c r="H11" s="3">
        <v>0</v>
      </c>
      <c r="I11" s="3">
        <v>0</v>
      </c>
      <c r="J11" s="3">
        <v>0</v>
      </c>
      <c r="K11" s="3">
        <v>0</v>
      </c>
      <c r="L11" s="3">
        <v>0</v>
      </c>
      <c r="M11" s="3">
        <v>0</v>
      </c>
      <c r="N11" s="3">
        <v>0</v>
      </c>
      <c r="O11" s="3">
        <v>0</v>
      </c>
      <c r="P11" s="3">
        <v>0</v>
      </c>
      <c r="Q11" s="3">
        <v>0</v>
      </c>
      <c r="R11" s="3">
        <v>1</v>
      </c>
      <c r="S11" s="3">
        <v>0</v>
      </c>
      <c r="T11" s="3">
        <v>0</v>
      </c>
      <c r="U11" s="3">
        <v>0</v>
      </c>
      <c r="V11" s="3">
        <v>0</v>
      </c>
      <c r="W11" s="3">
        <v>0</v>
      </c>
      <c r="X11" s="3">
        <v>0</v>
      </c>
      <c r="Y11" s="3">
        <v>0</v>
      </c>
      <c r="Z11" s="6">
        <f t="shared" si="0"/>
        <v>1</v>
      </c>
    </row>
    <row r="12" spans="1:26" ht="12.75">
      <c r="A12" t="s">
        <v>535</v>
      </c>
      <c r="B12" s="3">
        <v>0</v>
      </c>
      <c r="C12" s="3">
        <v>0</v>
      </c>
      <c r="D12" s="3">
        <v>0</v>
      </c>
      <c r="E12" s="3">
        <v>0</v>
      </c>
      <c r="F12" s="3">
        <v>0</v>
      </c>
      <c r="G12" s="3">
        <v>0</v>
      </c>
      <c r="H12" s="3">
        <v>0</v>
      </c>
      <c r="I12" s="3">
        <v>0</v>
      </c>
      <c r="J12" s="3">
        <v>0</v>
      </c>
      <c r="K12" s="3">
        <v>0</v>
      </c>
      <c r="L12" s="3">
        <v>0</v>
      </c>
      <c r="M12" s="3">
        <v>1</v>
      </c>
      <c r="N12" s="3">
        <v>4</v>
      </c>
      <c r="O12" s="3">
        <v>1</v>
      </c>
      <c r="P12" s="3">
        <v>3</v>
      </c>
      <c r="Q12" s="3">
        <v>0</v>
      </c>
      <c r="R12" s="3">
        <v>3</v>
      </c>
      <c r="S12" s="3">
        <v>5</v>
      </c>
      <c r="T12" s="3">
        <v>12</v>
      </c>
      <c r="U12" s="3">
        <v>4</v>
      </c>
      <c r="V12" s="3">
        <v>5</v>
      </c>
      <c r="W12" s="3">
        <v>0</v>
      </c>
      <c r="X12" s="3">
        <v>1</v>
      </c>
      <c r="Y12" s="3">
        <v>1</v>
      </c>
      <c r="Z12" s="6">
        <f t="shared" si="0"/>
        <v>40</v>
      </c>
    </row>
    <row r="13" spans="1:26" ht="12.75">
      <c r="A13" t="s">
        <v>536</v>
      </c>
      <c r="B13" s="3">
        <v>0</v>
      </c>
      <c r="C13" s="3">
        <v>0</v>
      </c>
      <c r="D13" s="3">
        <v>0</v>
      </c>
      <c r="E13" s="3">
        <v>0</v>
      </c>
      <c r="F13" s="3">
        <v>0</v>
      </c>
      <c r="G13" s="3">
        <v>0</v>
      </c>
      <c r="H13" s="3">
        <v>0</v>
      </c>
      <c r="I13" s="3">
        <v>0</v>
      </c>
      <c r="J13" s="3">
        <v>0</v>
      </c>
      <c r="K13" s="3">
        <v>0</v>
      </c>
      <c r="L13" s="3">
        <v>0</v>
      </c>
      <c r="M13" s="3">
        <v>0</v>
      </c>
      <c r="N13" s="3">
        <v>0</v>
      </c>
      <c r="O13" s="3">
        <v>0</v>
      </c>
      <c r="P13" s="3">
        <v>1</v>
      </c>
      <c r="Q13" s="3">
        <v>0</v>
      </c>
      <c r="R13" s="3">
        <v>3</v>
      </c>
      <c r="S13" s="3">
        <v>0</v>
      </c>
      <c r="T13" s="3">
        <v>2</v>
      </c>
      <c r="U13" s="3">
        <v>0</v>
      </c>
      <c r="V13" s="3">
        <v>0</v>
      </c>
      <c r="W13" s="3">
        <v>0</v>
      </c>
      <c r="X13" s="3">
        <v>0</v>
      </c>
      <c r="Y13" s="3">
        <v>0</v>
      </c>
      <c r="Z13" s="6">
        <f t="shared" si="0"/>
        <v>6</v>
      </c>
    </row>
    <row r="14" spans="1:26" ht="12.75">
      <c r="A14" t="s">
        <v>537</v>
      </c>
      <c r="B14" s="3">
        <v>0</v>
      </c>
      <c r="C14" s="3">
        <v>0</v>
      </c>
      <c r="D14" s="3">
        <v>0</v>
      </c>
      <c r="E14" s="3">
        <v>0</v>
      </c>
      <c r="F14" s="3">
        <v>0</v>
      </c>
      <c r="G14" s="3">
        <v>0</v>
      </c>
      <c r="H14" s="3">
        <v>6</v>
      </c>
      <c r="I14" s="3">
        <v>11</v>
      </c>
      <c r="J14" s="3">
        <v>13</v>
      </c>
      <c r="K14" s="3">
        <v>30</v>
      </c>
      <c r="L14" s="3">
        <v>10</v>
      </c>
      <c r="M14" s="3">
        <v>28</v>
      </c>
      <c r="N14" s="3">
        <v>22</v>
      </c>
      <c r="O14" s="3">
        <v>30</v>
      </c>
      <c r="P14" s="3">
        <v>25</v>
      </c>
      <c r="Q14" s="3">
        <v>19</v>
      </c>
      <c r="R14" s="3">
        <v>24</v>
      </c>
      <c r="S14" s="3">
        <v>26</v>
      </c>
      <c r="T14" s="3">
        <v>30</v>
      </c>
      <c r="U14" s="3">
        <v>20</v>
      </c>
      <c r="V14" s="3">
        <v>11</v>
      </c>
      <c r="W14" s="3">
        <v>3</v>
      </c>
      <c r="X14" s="3">
        <v>2</v>
      </c>
      <c r="Y14" s="3">
        <v>2</v>
      </c>
      <c r="Z14" s="6">
        <f t="shared" si="0"/>
        <v>312</v>
      </c>
    </row>
    <row r="15" spans="1:26" ht="12.75">
      <c r="A15" t="s">
        <v>538</v>
      </c>
      <c r="B15" s="3">
        <v>0</v>
      </c>
      <c r="C15" s="3">
        <v>0</v>
      </c>
      <c r="D15" s="3">
        <v>0</v>
      </c>
      <c r="E15" s="3">
        <v>0</v>
      </c>
      <c r="F15" s="3">
        <v>0</v>
      </c>
      <c r="G15" s="3">
        <v>0</v>
      </c>
      <c r="H15" s="3">
        <v>4</v>
      </c>
      <c r="I15" s="3">
        <v>9</v>
      </c>
      <c r="J15" s="3">
        <v>9</v>
      </c>
      <c r="K15" s="3">
        <v>10</v>
      </c>
      <c r="L15" s="3">
        <v>9</v>
      </c>
      <c r="M15" s="3">
        <v>5</v>
      </c>
      <c r="N15" s="3">
        <v>9</v>
      </c>
      <c r="O15" s="3">
        <v>7</v>
      </c>
      <c r="P15" s="3">
        <v>4</v>
      </c>
      <c r="Q15" s="3">
        <v>3</v>
      </c>
      <c r="R15" s="3">
        <v>6</v>
      </c>
      <c r="S15" s="3">
        <v>0</v>
      </c>
      <c r="T15" s="3">
        <v>3</v>
      </c>
      <c r="U15" s="3">
        <v>1</v>
      </c>
      <c r="V15" s="3">
        <v>1</v>
      </c>
      <c r="W15" s="3">
        <v>0</v>
      </c>
      <c r="X15" s="3">
        <v>0</v>
      </c>
      <c r="Y15" s="3">
        <v>0</v>
      </c>
      <c r="Z15" s="6">
        <f t="shared" si="0"/>
        <v>80</v>
      </c>
    </row>
    <row r="16" spans="1:26" ht="12.75">
      <c r="A16" t="s">
        <v>539</v>
      </c>
      <c r="B16" s="3">
        <v>0</v>
      </c>
      <c r="C16" s="3">
        <v>0</v>
      </c>
      <c r="D16" s="3">
        <v>0</v>
      </c>
      <c r="E16" s="3">
        <v>0</v>
      </c>
      <c r="F16" s="3">
        <v>0</v>
      </c>
      <c r="G16" s="3">
        <v>0</v>
      </c>
      <c r="H16" s="3">
        <v>0</v>
      </c>
      <c r="I16" s="3">
        <v>0</v>
      </c>
      <c r="J16" s="3">
        <v>0</v>
      </c>
      <c r="K16" s="3">
        <v>0</v>
      </c>
      <c r="L16" s="3">
        <v>0</v>
      </c>
      <c r="M16" s="3">
        <v>0</v>
      </c>
      <c r="N16" s="3">
        <v>0</v>
      </c>
      <c r="O16" s="3">
        <v>0</v>
      </c>
      <c r="P16" s="3">
        <v>1</v>
      </c>
      <c r="Q16" s="3">
        <v>0</v>
      </c>
      <c r="R16" s="3">
        <v>0</v>
      </c>
      <c r="S16" s="3">
        <v>0</v>
      </c>
      <c r="T16" s="3">
        <v>1</v>
      </c>
      <c r="U16" s="3">
        <v>0</v>
      </c>
      <c r="V16" s="3">
        <v>2</v>
      </c>
      <c r="W16" s="3">
        <v>0</v>
      </c>
      <c r="X16" s="3">
        <v>0</v>
      </c>
      <c r="Y16" s="3">
        <v>0</v>
      </c>
      <c r="Z16" s="6">
        <f t="shared" si="0"/>
        <v>4</v>
      </c>
    </row>
    <row r="17" spans="1:26" ht="12.75">
      <c r="A17" t="s">
        <v>540</v>
      </c>
      <c r="B17" s="3">
        <v>0</v>
      </c>
      <c r="C17" s="3">
        <v>0</v>
      </c>
      <c r="D17" s="3">
        <v>0</v>
      </c>
      <c r="E17" s="3">
        <v>0</v>
      </c>
      <c r="F17" s="3">
        <v>0</v>
      </c>
      <c r="G17" s="3">
        <v>0</v>
      </c>
      <c r="H17" s="3">
        <v>0</v>
      </c>
      <c r="I17" s="3">
        <v>0</v>
      </c>
      <c r="J17" s="3">
        <v>1</v>
      </c>
      <c r="K17" s="3">
        <v>2</v>
      </c>
      <c r="L17" s="3">
        <v>1</v>
      </c>
      <c r="M17" s="3">
        <v>2</v>
      </c>
      <c r="N17" s="3">
        <v>1</v>
      </c>
      <c r="O17" s="3">
        <v>0</v>
      </c>
      <c r="P17" s="3">
        <v>5</v>
      </c>
      <c r="Q17" s="3">
        <v>0</v>
      </c>
      <c r="R17" s="3">
        <v>0</v>
      </c>
      <c r="S17" s="3">
        <v>1</v>
      </c>
      <c r="T17" s="3">
        <v>11</v>
      </c>
      <c r="U17" s="3">
        <v>2</v>
      </c>
      <c r="V17" s="3">
        <v>3</v>
      </c>
      <c r="W17" s="3">
        <v>0</v>
      </c>
      <c r="X17" s="3">
        <v>0</v>
      </c>
      <c r="Y17" s="3">
        <v>0</v>
      </c>
      <c r="Z17" s="6">
        <f t="shared" si="0"/>
        <v>29</v>
      </c>
    </row>
    <row r="18" spans="1:26" ht="12.75">
      <c r="A18" t="s">
        <v>541</v>
      </c>
      <c r="B18" s="3">
        <v>0</v>
      </c>
      <c r="C18" s="3">
        <v>0</v>
      </c>
      <c r="D18" s="3">
        <v>0</v>
      </c>
      <c r="E18" s="3">
        <v>0</v>
      </c>
      <c r="F18" s="3">
        <v>0</v>
      </c>
      <c r="G18" s="3">
        <v>0</v>
      </c>
      <c r="H18" s="3">
        <v>0</v>
      </c>
      <c r="I18" s="3">
        <v>0</v>
      </c>
      <c r="J18" s="3">
        <v>0</v>
      </c>
      <c r="K18" s="3">
        <v>0</v>
      </c>
      <c r="L18" s="3">
        <v>0</v>
      </c>
      <c r="M18" s="3">
        <v>0</v>
      </c>
      <c r="N18" s="3">
        <v>0</v>
      </c>
      <c r="O18" s="3">
        <v>0</v>
      </c>
      <c r="P18" s="3">
        <v>1</v>
      </c>
      <c r="Q18" s="3">
        <v>0</v>
      </c>
      <c r="R18" s="3">
        <v>0</v>
      </c>
      <c r="S18" s="3">
        <v>0</v>
      </c>
      <c r="T18" s="3">
        <v>0</v>
      </c>
      <c r="U18" s="3">
        <v>0</v>
      </c>
      <c r="V18" s="3">
        <v>0</v>
      </c>
      <c r="W18" s="3">
        <v>0</v>
      </c>
      <c r="X18" s="3">
        <v>0</v>
      </c>
      <c r="Y18" s="3">
        <v>0</v>
      </c>
      <c r="Z18" s="6">
        <f t="shared" si="0"/>
        <v>1</v>
      </c>
    </row>
    <row r="19" spans="1:26" ht="12.75">
      <c r="A19" t="s">
        <v>542</v>
      </c>
      <c r="B19" s="3">
        <v>0</v>
      </c>
      <c r="C19" s="3">
        <v>0</v>
      </c>
      <c r="D19" s="3">
        <v>0</v>
      </c>
      <c r="E19" s="3">
        <v>0</v>
      </c>
      <c r="F19" s="3">
        <v>0</v>
      </c>
      <c r="G19" s="3">
        <v>0</v>
      </c>
      <c r="H19" s="3">
        <v>0</v>
      </c>
      <c r="I19" s="3">
        <v>0</v>
      </c>
      <c r="J19" s="3">
        <v>0</v>
      </c>
      <c r="K19" s="3">
        <v>0</v>
      </c>
      <c r="L19" s="3">
        <v>0</v>
      </c>
      <c r="M19" s="3">
        <v>0</v>
      </c>
      <c r="N19" s="3">
        <v>0</v>
      </c>
      <c r="O19" s="3">
        <v>0</v>
      </c>
      <c r="P19" s="3">
        <v>0</v>
      </c>
      <c r="Q19" s="3">
        <v>0</v>
      </c>
      <c r="R19" s="3">
        <v>1</v>
      </c>
      <c r="S19" s="3">
        <v>0</v>
      </c>
      <c r="T19" s="3">
        <v>0</v>
      </c>
      <c r="U19" s="3">
        <v>2</v>
      </c>
      <c r="V19" s="3">
        <v>0</v>
      </c>
      <c r="W19" s="3">
        <v>1</v>
      </c>
      <c r="X19" s="3">
        <v>0</v>
      </c>
      <c r="Y19" s="3">
        <v>0</v>
      </c>
      <c r="Z19" s="6">
        <f t="shared" si="0"/>
        <v>4</v>
      </c>
    </row>
    <row r="20" spans="1:26" ht="12.75">
      <c r="A20" t="s">
        <v>543</v>
      </c>
      <c r="B20" s="3">
        <v>0</v>
      </c>
      <c r="C20" s="3">
        <v>0</v>
      </c>
      <c r="D20" s="3">
        <v>0</v>
      </c>
      <c r="E20" s="3">
        <v>0</v>
      </c>
      <c r="F20" s="3">
        <v>0</v>
      </c>
      <c r="G20" s="3">
        <v>0</v>
      </c>
      <c r="H20" s="3">
        <v>1</v>
      </c>
      <c r="I20" s="3">
        <v>0</v>
      </c>
      <c r="J20" s="3">
        <v>1</v>
      </c>
      <c r="K20" s="3">
        <v>1</v>
      </c>
      <c r="L20" s="3">
        <v>0</v>
      </c>
      <c r="M20" s="3">
        <v>1</v>
      </c>
      <c r="N20" s="3">
        <v>0</v>
      </c>
      <c r="O20" s="3">
        <v>0</v>
      </c>
      <c r="P20" s="3">
        <v>0</v>
      </c>
      <c r="Q20" s="3">
        <v>0</v>
      </c>
      <c r="R20" s="3">
        <v>0</v>
      </c>
      <c r="S20" s="3">
        <v>2</v>
      </c>
      <c r="T20" s="3">
        <v>0</v>
      </c>
      <c r="U20" s="3">
        <v>0</v>
      </c>
      <c r="V20" s="3">
        <v>0</v>
      </c>
      <c r="W20" s="3">
        <v>0</v>
      </c>
      <c r="X20" s="3">
        <v>0</v>
      </c>
      <c r="Y20" s="3">
        <v>0</v>
      </c>
      <c r="Z20" s="6">
        <f t="shared" si="0"/>
        <v>6</v>
      </c>
    </row>
    <row r="21" spans="1:26" ht="12.75">
      <c r="A21" t="s">
        <v>544</v>
      </c>
      <c r="B21" s="3">
        <v>0</v>
      </c>
      <c r="C21" s="3">
        <v>0</v>
      </c>
      <c r="D21" s="3">
        <v>0</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3">
        <v>1</v>
      </c>
      <c r="W21" s="3">
        <v>0</v>
      </c>
      <c r="X21" s="3">
        <v>0</v>
      </c>
      <c r="Y21" s="3">
        <v>0</v>
      </c>
      <c r="Z21" s="6">
        <f t="shared" si="0"/>
        <v>1</v>
      </c>
    </row>
    <row r="22" spans="1:26" ht="12.75">
      <c r="A22" t="s">
        <v>545</v>
      </c>
      <c r="B22" s="3">
        <v>0</v>
      </c>
      <c r="C22" s="3">
        <v>0</v>
      </c>
      <c r="D22" s="3">
        <v>0</v>
      </c>
      <c r="E22" s="3">
        <v>0</v>
      </c>
      <c r="F22" s="3">
        <v>0</v>
      </c>
      <c r="G22" s="3">
        <v>0</v>
      </c>
      <c r="H22" s="3">
        <v>0</v>
      </c>
      <c r="I22" s="3">
        <v>0</v>
      </c>
      <c r="J22" s="3">
        <v>0</v>
      </c>
      <c r="K22" s="3">
        <v>0</v>
      </c>
      <c r="L22" s="3">
        <v>0</v>
      </c>
      <c r="M22" s="3">
        <v>3</v>
      </c>
      <c r="N22" s="3">
        <v>1</v>
      </c>
      <c r="O22" s="3">
        <v>4</v>
      </c>
      <c r="P22" s="3">
        <v>0</v>
      </c>
      <c r="Q22" s="3">
        <v>2</v>
      </c>
      <c r="R22" s="3">
        <v>0</v>
      </c>
      <c r="S22" s="3">
        <v>2</v>
      </c>
      <c r="T22" s="3">
        <v>1</v>
      </c>
      <c r="U22" s="3">
        <v>2</v>
      </c>
      <c r="V22" s="3">
        <v>0</v>
      </c>
      <c r="W22" s="3">
        <v>0</v>
      </c>
      <c r="X22" s="3">
        <v>0</v>
      </c>
      <c r="Y22" s="3">
        <v>0</v>
      </c>
      <c r="Z22" s="6">
        <f t="shared" si="0"/>
        <v>15</v>
      </c>
    </row>
    <row r="23" spans="1:26" ht="12.75">
      <c r="A23" t="s">
        <v>546</v>
      </c>
      <c r="B23" s="3">
        <v>0</v>
      </c>
      <c r="C23" s="3">
        <v>0</v>
      </c>
      <c r="D23" s="3">
        <v>0</v>
      </c>
      <c r="E23" s="3">
        <v>0</v>
      </c>
      <c r="F23" s="3">
        <v>0</v>
      </c>
      <c r="G23" s="3">
        <v>0</v>
      </c>
      <c r="H23" s="3">
        <v>0</v>
      </c>
      <c r="I23" s="3">
        <v>0</v>
      </c>
      <c r="J23" s="3">
        <v>0</v>
      </c>
      <c r="K23" s="3">
        <v>0</v>
      </c>
      <c r="L23" s="3">
        <v>0</v>
      </c>
      <c r="M23" s="3">
        <v>0</v>
      </c>
      <c r="N23" s="3">
        <v>0</v>
      </c>
      <c r="O23" s="3">
        <v>0</v>
      </c>
      <c r="P23" s="3">
        <v>0</v>
      </c>
      <c r="Q23" s="3">
        <v>0</v>
      </c>
      <c r="R23" s="3">
        <v>0</v>
      </c>
      <c r="S23" s="3">
        <v>0</v>
      </c>
      <c r="T23" s="3">
        <v>1</v>
      </c>
      <c r="U23" s="3">
        <v>0</v>
      </c>
      <c r="V23" s="3">
        <v>0</v>
      </c>
      <c r="W23" s="3">
        <v>0</v>
      </c>
      <c r="X23" s="3">
        <v>0</v>
      </c>
      <c r="Y23" s="3">
        <v>0</v>
      </c>
      <c r="Z23" s="6">
        <f t="shared" si="0"/>
        <v>1</v>
      </c>
    </row>
    <row r="24" spans="1:26" ht="12.75">
      <c r="A24" t="s">
        <v>547</v>
      </c>
      <c r="B24" s="3">
        <v>0</v>
      </c>
      <c r="C24" s="3">
        <v>0</v>
      </c>
      <c r="D24" s="3">
        <v>0</v>
      </c>
      <c r="E24" s="3">
        <v>0</v>
      </c>
      <c r="F24" s="3">
        <v>0</v>
      </c>
      <c r="G24" s="3">
        <v>0</v>
      </c>
      <c r="H24" s="3">
        <v>0</v>
      </c>
      <c r="I24" s="3">
        <v>0</v>
      </c>
      <c r="J24" s="3">
        <v>0</v>
      </c>
      <c r="K24" s="3">
        <v>0</v>
      </c>
      <c r="L24" s="3">
        <v>0</v>
      </c>
      <c r="M24" s="3">
        <v>0</v>
      </c>
      <c r="N24" s="3">
        <v>0</v>
      </c>
      <c r="O24" s="3">
        <v>1</v>
      </c>
      <c r="P24" s="3">
        <v>0</v>
      </c>
      <c r="Q24" s="3">
        <v>2</v>
      </c>
      <c r="R24" s="3">
        <v>0</v>
      </c>
      <c r="S24" s="3">
        <v>1</v>
      </c>
      <c r="T24" s="3">
        <v>0</v>
      </c>
      <c r="U24" s="3">
        <v>0</v>
      </c>
      <c r="V24" s="3">
        <v>0</v>
      </c>
      <c r="W24" s="3">
        <v>0</v>
      </c>
      <c r="X24" s="3">
        <v>0</v>
      </c>
      <c r="Y24" s="3">
        <v>0</v>
      </c>
      <c r="Z24" s="6">
        <f t="shared" si="0"/>
        <v>4</v>
      </c>
    </row>
    <row r="25" spans="1:26" ht="12.75">
      <c r="A25" t="s">
        <v>548</v>
      </c>
      <c r="B25" s="3">
        <v>0</v>
      </c>
      <c r="C25" s="3">
        <v>0</v>
      </c>
      <c r="D25" s="3">
        <v>0</v>
      </c>
      <c r="E25" s="3">
        <v>0</v>
      </c>
      <c r="F25" s="3">
        <v>0</v>
      </c>
      <c r="G25" s="3">
        <v>0</v>
      </c>
      <c r="H25" s="3">
        <v>0</v>
      </c>
      <c r="I25" s="3">
        <v>0</v>
      </c>
      <c r="J25" s="3">
        <v>0</v>
      </c>
      <c r="K25" s="3">
        <v>0</v>
      </c>
      <c r="L25" s="3">
        <v>0</v>
      </c>
      <c r="M25" s="3">
        <v>3</v>
      </c>
      <c r="N25" s="3">
        <v>1</v>
      </c>
      <c r="O25" s="3">
        <v>4</v>
      </c>
      <c r="P25" s="3">
        <v>0</v>
      </c>
      <c r="Q25" s="3">
        <v>2</v>
      </c>
      <c r="R25" s="3">
        <v>3</v>
      </c>
      <c r="S25" s="3">
        <v>2</v>
      </c>
      <c r="T25" s="3">
        <v>7</v>
      </c>
      <c r="U25" s="3">
        <v>9</v>
      </c>
      <c r="V25" s="3">
        <v>8</v>
      </c>
      <c r="W25" s="3">
        <v>1</v>
      </c>
      <c r="X25" s="3">
        <v>0</v>
      </c>
      <c r="Y25" s="3">
        <v>0</v>
      </c>
      <c r="Z25" s="6">
        <f t="shared" si="0"/>
        <v>40</v>
      </c>
    </row>
    <row r="26" spans="1:26" ht="12.75">
      <c r="A26" t="s">
        <v>549</v>
      </c>
      <c r="B26" s="3">
        <v>0</v>
      </c>
      <c r="C26" s="3">
        <v>0</v>
      </c>
      <c r="D26" s="3">
        <v>0</v>
      </c>
      <c r="E26" s="3">
        <v>0</v>
      </c>
      <c r="F26" s="3">
        <v>0</v>
      </c>
      <c r="G26" s="3">
        <v>0</v>
      </c>
      <c r="H26" s="3">
        <v>0</v>
      </c>
      <c r="I26" s="3">
        <v>0</v>
      </c>
      <c r="J26" s="3">
        <v>0</v>
      </c>
      <c r="K26" s="3">
        <v>0</v>
      </c>
      <c r="L26" s="3">
        <v>0</v>
      </c>
      <c r="M26" s="3">
        <v>0</v>
      </c>
      <c r="N26" s="3">
        <v>0</v>
      </c>
      <c r="O26" s="3">
        <v>2</v>
      </c>
      <c r="P26" s="3">
        <v>0</v>
      </c>
      <c r="Q26" s="3">
        <v>0</v>
      </c>
      <c r="R26" s="3">
        <v>0</v>
      </c>
      <c r="S26" s="3">
        <v>0</v>
      </c>
      <c r="T26" s="3">
        <v>0</v>
      </c>
      <c r="U26" s="3">
        <v>0</v>
      </c>
      <c r="V26" s="3">
        <v>0</v>
      </c>
      <c r="W26" s="3">
        <v>0</v>
      </c>
      <c r="X26" s="3">
        <v>0</v>
      </c>
      <c r="Y26" s="3">
        <v>0</v>
      </c>
      <c r="Z26" s="6">
        <f t="shared" si="0"/>
        <v>2</v>
      </c>
    </row>
    <row r="27" spans="1:26" ht="12.75">
      <c r="A27" t="s">
        <v>550</v>
      </c>
      <c r="B27" s="3">
        <v>0</v>
      </c>
      <c r="C27" s="3">
        <v>0</v>
      </c>
      <c r="D27" s="3">
        <v>0</v>
      </c>
      <c r="E27" s="3">
        <v>0</v>
      </c>
      <c r="F27" s="3">
        <v>0</v>
      </c>
      <c r="G27" s="3">
        <v>0</v>
      </c>
      <c r="H27" s="3">
        <v>0</v>
      </c>
      <c r="I27" s="3">
        <v>0</v>
      </c>
      <c r="J27" s="3">
        <v>0</v>
      </c>
      <c r="K27" s="3">
        <v>0</v>
      </c>
      <c r="L27" s="3">
        <v>0</v>
      </c>
      <c r="M27" s="3">
        <v>0</v>
      </c>
      <c r="N27" s="3">
        <v>0</v>
      </c>
      <c r="O27" s="3">
        <v>0</v>
      </c>
      <c r="P27" s="3">
        <v>0</v>
      </c>
      <c r="Q27" s="3">
        <v>0</v>
      </c>
      <c r="R27" s="3">
        <v>1</v>
      </c>
      <c r="S27" s="3">
        <v>0</v>
      </c>
      <c r="T27" s="3">
        <v>0</v>
      </c>
      <c r="U27" s="3">
        <v>0</v>
      </c>
      <c r="V27" s="3">
        <v>0</v>
      </c>
      <c r="W27" s="3">
        <v>0</v>
      </c>
      <c r="X27" s="3">
        <v>0</v>
      </c>
      <c r="Y27" s="3">
        <v>0</v>
      </c>
      <c r="Z27" s="6">
        <f t="shared" si="0"/>
        <v>1</v>
      </c>
    </row>
    <row r="28" spans="1:26" ht="12.75">
      <c r="A28" t="s">
        <v>551</v>
      </c>
      <c r="B28" s="3">
        <v>0</v>
      </c>
      <c r="C28" s="3">
        <v>0</v>
      </c>
      <c r="D28" s="3">
        <v>0</v>
      </c>
      <c r="E28" s="3">
        <v>0</v>
      </c>
      <c r="F28" s="3">
        <v>0</v>
      </c>
      <c r="G28" s="3">
        <v>0</v>
      </c>
      <c r="H28" s="3">
        <v>0</v>
      </c>
      <c r="I28" s="3">
        <v>0</v>
      </c>
      <c r="J28" s="3">
        <v>0</v>
      </c>
      <c r="K28" s="3">
        <v>0</v>
      </c>
      <c r="L28" s="3">
        <v>0</v>
      </c>
      <c r="M28" s="3">
        <v>0</v>
      </c>
      <c r="N28" s="3">
        <v>0</v>
      </c>
      <c r="O28" s="3">
        <v>0</v>
      </c>
      <c r="P28" s="3">
        <v>0</v>
      </c>
      <c r="Q28" s="3">
        <v>0</v>
      </c>
      <c r="R28" s="3">
        <v>0</v>
      </c>
      <c r="S28" s="3">
        <v>0</v>
      </c>
      <c r="T28" s="3">
        <v>0</v>
      </c>
      <c r="U28" s="3">
        <v>1</v>
      </c>
      <c r="V28" s="3">
        <v>0</v>
      </c>
      <c r="W28" s="3">
        <v>0</v>
      </c>
      <c r="X28" s="3">
        <v>0</v>
      </c>
      <c r="Y28" s="3">
        <v>0</v>
      </c>
      <c r="Z28" s="6">
        <f t="shared" si="0"/>
        <v>1</v>
      </c>
    </row>
    <row r="29" spans="1:26" ht="12.75">
      <c r="A29" t="s">
        <v>552</v>
      </c>
      <c r="B29" s="3">
        <v>0</v>
      </c>
      <c r="C29" s="3">
        <v>0</v>
      </c>
      <c r="D29" s="3">
        <v>0</v>
      </c>
      <c r="E29" s="3">
        <v>0</v>
      </c>
      <c r="F29" s="3">
        <v>0</v>
      </c>
      <c r="G29" s="3">
        <v>0</v>
      </c>
      <c r="H29" s="3">
        <v>0</v>
      </c>
      <c r="I29" s="3">
        <v>0</v>
      </c>
      <c r="J29" s="3">
        <v>0</v>
      </c>
      <c r="K29" s="3">
        <v>0</v>
      </c>
      <c r="L29" s="3">
        <v>0</v>
      </c>
      <c r="M29" s="3">
        <v>0</v>
      </c>
      <c r="N29" s="3">
        <v>0</v>
      </c>
      <c r="O29" s="3">
        <v>0</v>
      </c>
      <c r="P29" s="3">
        <v>0</v>
      </c>
      <c r="Q29" s="3">
        <v>0</v>
      </c>
      <c r="R29" s="3">
        <v>1</v>
      </c>
      <c r="S29" s="3">
        <v>1</v>
      </c>
      <c r="T29" s="3">
        <v>0</v>
      </c>
      <c r="U29" s="3">
        <v>1</v>
      </c>
      <c r="V29" s="3">
        <v>0</v>
      </c>
      <c r="W29" s="3">
        <v>0</v>
      </c>
      <c r="X29" s="3">
        <v>0</v>
      </c>
      <c r="Y29" s="3">
        <v>0</v>
      </c>
      <c r="Z29" s="6">
        <f t="shared" si="0"/>
        <v>3</v>
      </c>
    </row>
    <row r="30" spans="1:26" ht="12.75">
      <c r="A30" t="s">
        <v>553</v>
      </c>
      <c r="B30" s="3">
        <v>0</v>
      </c>
      <c r="C30" s="3">
        <v>0</v>
      </c>
      <c r="D30" s="3">
        <v>0</v>
      </c>
      <c r="E30" s="3">
        <v>0</v>
      </c>
      <c r="F30" s="3">
        <v>0</v>
      </c>
      <c r="G30" s="3">
        <v>0</v>
      </c>
      <c r="H30" s="3">
        <v>0</v>
      </c>
      <c r="I30" s="3">
        <v>0</v>
      </c>
      <c r="J30" s="3">
        <v>0</v>
      </c>
      <c r="K30" s="3">
        <v>0</v>
      </c>
      <c r="L30" s="3">
        <v>0</v>
      </c>
      <c r="M30" s="3">
        <v>0</v>
      </c>
      <c r="N30" s="3">
        <v>0</v>
      </c>
      <c r="O30" s="3">
        <v>0</v>
      </c>
      <c r="P30" s="3">
        <v>0</v>
      </c>
      <c r="Q30" s="3">
        <v>0</v>
      </c>
      <c r="R30" s="3">
        <v>1</v>
      </c>
      <c r="S30" s="3">
        <v>0</v>
      </c>
      <c r="T30" s="3">
        <v>0</v>
      </c>
      <c r="U30" s="3">
        <v>0</v>
      </c>
      <c r="V30" s="3">
        <v>0</v>
      </c>
      <c r="W30" s="3">
        <v>0</v>
      </c>
      <c r="X30" s="3">
        <v>0</v>
      </c>
      <c r="Y30" s="3">
        <v>0</v>
      </c>
      <c r="Z30" s="6">
        <f t="shared" si="0"/>
        <v>1</v>
      </c>
    </row>
    <row r="31" spans="1:26" ht="12.75">
      <c r="A31" t="s">
        <v>554</v>
      </c>
      <c r="B31" s="3">
        <v>0</v>
      </c>
      <c r="C31" s="3">
        <v>0</v>
      </c>
      <c r="D31" s="3">
        <v>0</v>
      </c>
      <c r="E31" s="3">
        <v>0</v>
      </c>
      <c r="F31" s="3">
        <v>0</v>
      </c>
      <c r="G31" s="3">
        <v>0</v>
      </c>
      <c r="H31" s="3">
        <v>0</v>
      </c>
      <c r="I31" s="3">
        <v>0</v>
      </c>
      <c r="J31" s="3">
        <v>0</v>
      </c>
      <c r="K31" s="3">
        <v>0</v>
      </c>
      <c r="L31" s="3">
        <v>1</v>
      </c>
      <c r="M31" s="3">
        <v>0</v>
      </c>
      <c r="N31" s="3">
        <v>0</v>
      </c>
      <c r="O31" s="3">
        <v>0</v>
      </c>
      <c r="P31" s="3">
        <v>0</v>
      </c>
      <c r="Q31" s="3">
        <v>0</v>
      </c>
      <c r="R31" s="3">
        <v>0</v>
      </c>
      <c r="S31" s="3">
        <v>0</v>
      </c>
      <c r="T31" s="3">
        <v>1</v>
      </c>
      <c r="U31" s="3">
        <v>0</v>
      </c>
      <c r="V31" s="3">
        <v>0</v>
      </c>
      <c r="W31" s="3">
        <v>0</v>
      </c>
      <c r="X31" s="3">
        <v>0</v>
      </c>
      <c r="Y31" s="3">
        <v>0</v>
      </c>
      <c r="Z31" s="6">
        <f t="shared" si="0"/>
        <v>2</v>
      </c>
    </row>
    <row r="32" spans="1:26" ht="12.75">
      <c r="A32" t="s">
        <v>555</v>
      </c>
      <c r="B32" s="3">
        <v>0</v>
      </c>
      <c r="C32" s="3">
        <v>0</v>
      </c>
      <c r="D32" s="3">
        <v>0</v>
      </c>
      <c r="E32" s="3">
        <v>0</v>
      </c>
      <c r="F32" s="3">
        <v>0</v>
      </c>
      <c r="G32" s="3">
        <v>0</v>
      </c>
      <c r="H32" s="3">
        <v>0</v>
      </c>
      <c r="I32" s="3">
        <v>0</v>
      </c>
      <c r="J32" s="3">
        <v>0</v>
      </c>
      <c r="K32" s="3">
        <v>0</v>
      </c>
      <c r="L32" s="3">
        <v>0</v>
      </c>
      <c r="M32" s="3">
        <v>0</v>
      </c>
      <c r="N32" s="3">
        <v>0</v>
      </c>
      <c r="O32" s="3">
        <v>1</v>
      </c>
      <c r="P32" s="3">
        <v>2</v>
      </c>
      <c r="Q32" s="3">
        <v>5</v>
      </c>
      <c r="R32" s="3">
        <v>6</v>
      </c>
      <c r="S32" s="3">
        <v>13</v>
      </c>
      <c r="T32" s="3">
        <v>3</v>
      </c>
      <c r="U32" s="3">
        <v>7</v>
      </c>
      <c r="V32" s="3">
        <v>0</v>
      </c>
      <c r="W32" s="3">
        <v>1</v>
      </c>
      <c r="X32" s="3">
        <v>0</v>
      </c>
      <c r="Y32" s="3">
        <v>0</v>
      </c>
      <c r="Z32" s="6">
        <f t="shared" si="0"/>
        <v>38</v>
      </c>
    </row>
    <row r="33" spans="1:26" ht="12.75">
      <c r="A33" t="s">
        <v>556</v>
      </c>
      <c r="B33" s="3">
        <v>0</v>
      </c>
      <c r="C33" s="3">
        <v>0</v>
      </c>
      <c r="D33" s="3">
        <v>0</v>
      </c>
      <c r="E33" s="3">
        <v>0</v>
      </c>
      <c r="F33" s="3">
        <v>17</v>
      </c>
      <c r="G33" s="3">
        <v>47</v>
      </c>
      <c r="H33" s="3">
        <v>31</v>
      </c>
      <c r="I33" s="3">
        <v>91</v>
      </c>
      <c r="J33" s="3">
        <v>28</v>
      </c>
      <c r="K33" s="3">
        <v>84</v>
      </c>
      <c r="L33" s="3">
        <v>33</v>
      </c>
      <c r="M33" s="3">
        <v>106</v>
      </c>
      <c r="N33" s="3">
        <v>42</v>
      </c>
      <c r="O33" s="3">
        <v>174</v>
      </c>
      <c r="P33" s="3">
        <v>60</v>
      </c>
      <c r="Q33" s="3">
        <v>182</v>
      </c>
      <c r="R33" s="3">
        <v>56</v>
      </c>
      <c r="S33" s="3">
        <v>173</v>
      </c>
      <c r="T33" s="3">
        <v>21</v>
      </c>
      <c r="U33" s="3">
        <v>76</v>
      </c>
      <c r="V33" s="3">
        <v>2</v>
      </c>
      <c r="W33" s="3">
        <v>2</v>
      </c>
      <c r="X33" s="3">
        <v>0</v>
      </c>
      <c r="Y33" s="3">
        <v>0</v>
      </c>
      <c r="Z33" s="6">
        <f t="shared" si="0"/>
        <v>1225</v>
      </c>
    </row>
    <row r="34" spans="1:26" ht="12.75">
      <c r="A34" t="s">
        <v>557</v>
      </c>
      <c r="B34" s="3">
        <v>0</v>
      </c>
      <c r="C34" s="3">
        <v>0</v>
      </c>
      <c r="D34" s="3">
        <v>0</v>
      </c>
      <c r="E34" s="3">
        <v>0</v>
      </c>
      <c r="F34" s="3">
        <v>0</v>
      </c>
      <c r="G34" s="3">
        <v>0</v>
      </c>
      <c r="H34" s="3">
        <v>0</v>
      </c>
      <c r="I34" s="3">
        <v>0</v>
      </c>
      <c r="J34" s="3">
        <v>0</v>
      </c>
      <c r="K34" s="3">
        <v>0</v>
      </c>
      <c r="L34" s="3">
        <v>0</v>
      </c>
      <c r="M34" s="3">
        <v>0</v>
      </c>
      <c r="N34" s="3">
        <v>0</v>
      </c>
      <c r="O34" s="3">
        <v>0</v>
      </c>
      <c r="P34" s="3">
        <v>0</v>
      </c>
      <c r="Q34" s="3">
        <v>0</v>
      </c>
      <c r="R34" s="3">
        <v>0</v>
      </c>
      <c r="S34" s="3">
        <v>0</v>
      </c>
      <c r="T34" s="3">
        <v>0</v>
      </c>
      <c r="U34" s="3">
        <v>2</v>
      </c>
      <c r="V34" s="3">
        <v>0</v>
      </c>
      <c r="W34" s="3">
        <v>0</v>
      </c>
      <c r="X34" s="3">
        <v>0</v>
      </c>
      <c r="Y34" s="3">
        <v>0</v>
      </c>
      <c r="Z34" s="6">
        <f t="shared" si="0"/>
        <v>2</v>
      </c>
    </row>
    <row r="35" spans="1:26" ht="12.75">
      <c r="A35" t="s">
        <v>558</v>
      </c>
      <c r="B35" s="3">
        <v>0</v>
      </c>
      <c r="C35" s="3">
        <v>0</v>
      </c>
      <c r="D35" s="3">
        <v>0</v>
      </c>
      <c r="E35" s="3">
        <v>0</v>
      </c>
      <c r="F35" s="3">
        <v>0</v>
      </c>
      <c r="G35" s="3">
        <v>0</v>
      </c>
      <c r="H35" s="3">
        <v>0</v>
      </c>
      <c r="I35" s="3">
        <v>0</v>
      </c>
      <c r="J35" s="3">
        <v>0</v>
      </c>
      <c r="K35" s="3">
        <v>0</v>
      </c>
      <c r="L35" s="3">
        <v>0</v>
      </c>
      <c r="M35" s="3">
        <v>0</v>
      </c>
      <c r="N35" s="3">
        <v>0</v>
      </c>
      <c r="O35" s="3">
        <v>0</v>
      </c>
      <c r="P35" s="3">
        <v>0</v>
      </c>
      <c r="Q35" s="3">
        <v>0</v>
      </c>
      <c r="R35" s="3">
        <v>2</v>
      </c>
      <c r="S35" s="3">
        <v>0</v>
      </c>
      <c r="T35" s="3">
        <v>3</v>
      </c>
      <c r="U35" s="3">
        <v>1</v>
      </c>
      <c r="V35" s="3">
        <v>1</v>
      </c>
      <c r="W35" s="3">
        <v>0</v>
      </c>
      <c r="X35" s="3">
        <v>0</v>
      </c>
      <c r="Y35" s="3">
        <v>0</v>
      </c>
      <c r="Z35" s="6">
        <f t="shared" si="0"/>
        <v>7</v>
      </c>
    </row>
    <row r="36" spans="1:26" ht="12.75">
      <c r="A36" t="s">
        <v>559</v>
      </c>
      <c r="B36" s="3">
        <v>0</v>
      </c>
      <c r="C36" s="3">
        <v>0</v>
      </c>
      <c r="D36" s="3">
        <v>0</v>
      </c>
      <c r="E36" s="3">
        <v>0</v>
      </c>
      <c r="F36" s="3">
        <v>0</v>
      </c>
      <c r="G36" s="3">
        <v>1</v>
      </c>
      <c r="H36" s="3">
        <v>1</v>
      </c>
      <c r="I36" s="3">
        <v>7</v>
      </c>
      <c r="J36" s="3">
        <v>6</v>
      </c>
      <c r="K36" s="3">
        <v>15</v>
      </c>
      <c r="L36" s="3">
        <v>9</v>
      </c>
      <c r="M36" s="3">
        <v>19</v>
      </c>
      <c r="N36" s="3">
        <v>13</v>
      </c>
      <c r="O36" s="3">
        <v>19</v>
      </c>
      <c r="P36" s="3">
        <v>8</v>
      </c>
      <c r="Q36" s="3">
        <v>10</v>
      </c>
      <c r="R36" s="3">
        <v>6</v>
      </c>
      <c r="S36" s="3">
        <v>11</v>
      </c>
      <c r="T36" s="3">
        <v>11</v>
      </c>
      <c r="U36" s="3">
        <v>7</v>
      </c>
      <c r="V36" s="3">
        <v>0</v>
      </c>
      <c r="W36" s="3">
        <v>1</v>
      </c>
      <c r="X36" s="3">
        <v>0</v>
      </c>
      <c r="Y36" s="3">
        <v>0</v>
      </c>
      <c r="Z36" s="6">
        <f t="shared" si="0"/>
        <v>144</v>
      </c>
    </row>
    <row r="37" spans="1:26" ht="12.75">
      <c r="A37" t="s">
        <v>560</v>
      </c>
      <c r="B37" s="3">
        <v>0</v>
      </c>
      <c r="C37" s="3">
        <v>0</v>
      </c>
      <c r="D37" s="3">
        <v>0</v>
      </c>
      <c r="E37" s="3">
        <v>0</v>
      </c>
      <c r="F37" s="3">
        <v>0</v>
      </c>
      <c r="G37" s="3">
        <v>0</v>
      </c>
      <c r="H37" s="3">
        <v>0</v>
      </c>
      <c r="I37" s="3">
        <v>0</v>
      </c>
      <c r="J37" s="3">
        <v>0</v>
      </c>
      <c r="K37" s="3">
        <v>0</v>
      </c>
      <c r="L37" s="3">
        <v>0</v>
      </c>
      <c r="M37" s="3">
        <v>0</v>
      </c>
      <c r="N37" s="3">
        <v>0</v>
      </c>
      <c r="O37" s="3">
        <v>0</v>
      </c>
      <c r="P37" s="3">
        <v>0</v>
      </c>
      <c r="Q37" s="3">
        <v>0</v>
      </c>
      <c r="R37" s="3">
        <v>1</v>
      </c>
      <c r="S37" s="3">
        <v>0</v>
      </c>
      <c r="T37" s="3">
        <v>3</v>
      </c>
      <c r="U37" s="3">
        <v>0</v>
      </c>
      <c r="V37" s="3">
        <v>1</v>
      </c>
      <c r="W37" s="3">
        <v>0</v>
      </c>
      <c r="X37" s="3">
        <v>0</v>
      </c>
      <c r="Y37" s="3">
        <v>0</v>
      </c>
      <c r="Z37" s="6">
        <f t="shared" si="0"/>
        <v>5</v>
      </c>
    </row>
    <row r="38" spans="1:26" ht="12.75">
      <c r="A38" t="s">
        <v>561</v>
      </c>
      <c r="B38" s="3">
        <v>0</v>
      </c>
      <c r="C38" s="3">
        <v>0</v>
      </c>
      <c r="D38" s="3">
        <v>0</v>
      </c>
      <c r="E38" s="3">
        <v>0</v>
      </c>
      <c r="F38" s="3">
        <v>1</v>
      </c>
      <c r="G38" s="3">
        <v>1</v>
      </c>
      <c r="H38" s="3">
        <v>3</v>
      </c>
      <c r="I38" s="3">
        <v>3</v>
      </c>
      <c r="J38" s="3">
        <v>4</v>
      </c>
      <c r="K38" s="3">
        <v>1</v>
      </c>
      <c r="L38" s="3">
        <v>1</v>
      </c>
      <c r="M38" s="3">
        <v>5</v>
      </c>
      <c r="N38" s="3">
        <v>3</v>
      </c>
      <c r="O38" s="3">
        <v>1</v>
      </c>
      <c r="P38" s="3">
        <v>4</v>
      </c>
      <c r="Q38" s="3">
        <v>0</v>
      </c>
      <c r="R38" s="3">
        <v>2</v>
      </c>
      <c r="S38" s="3">
        <v>2</v>
      </c>
      <c r="T38" s="3">
        <v>4</v>
      </c>
      <c r="U38" s="3">
        <v>1</v>
      </c>
      <c r="V38" s="3">
        <v>0</v>
      </c>
      <c r="W38" s="3">
        <v>1</v>
      </c>
      <c r="X38" s="3">
        <v>0</v>
      </c>
      <c r="Y38" s="3">
        <v>0</v>
      </c>
      <c r="Z38" s="6">
        <f t="shared" si="0"/>
        <v>37</v>
      </c>
    </row>
    <row r="39" spans="1:26" ht="12.75">
      <c r="A39" t="s">
        <v>562</v>
      </c>
      <c r="B39" s="3">
        <v>0</v>
      </c>
      <c r="C39" s="3">
        <v>0</v>
      </c>
      <c r="D39" s="3">
        <v>0</v>
      </c>
      <c r="E39" s="3">
        <v>0</v>
      </c>
      <c r="F39" s="3">
        <v>0</v>
      </c>
      <c r="G39" s="3">
        <v>0</v>
      </c>
      <c r="H39" s="3">
        <v>0</v>
      </c>
      <c r="I39" s="3">
        <v>0</v>
      </c>
      <c r="J39" s="3">
        <v>0</v>
      </c>
      <c r="K39" s="3">
        <v>0</v>
      </c>
      <c r="L39" s="3">
        <v>0</v>
      </c>
      <c r="M39" s="3">
        <v>0</v>
      </c>
      <c r="N39" s="3">
        <v>0</v>
      </c>
      <c r="O39" s="3">
        <v>0</v>
      </c>
      <c r="P39" s="3">
        <v>0</v>
      </c>
      <c r="Q39" s="3">
        <v>0</v>
      </c>
      <c r="R39" s="3">
        <v>1</v>
      </c>
      <c r="S39" s="3">
        <v>0</v>
      </c>
      <c r="T39" s="3">
        <v>0</v>
      </c>
      <c r="U39" s="3">
        <v>0</v>
      </c>
      <c r="V39" s="3">
        <v>1</v>
      </c>
      <c r="W39" s="3">
        <v>0</v>
      </c>
      <c r="X39" s="3">
        <v>0</v>
      </c>
      <c r="Y39" s="3">
        <v>0</v>
      </c>
      <c r="Z39" s="6">
        <f aca="true" t="shared" si="1" ref="Z39:Z70">SUM(B39:Y39)</f>
        <v>2</v>
      </c>
    </row>
    <row r="40" spans="1:26" ht="12.75">
      <c r="A40" t="s">
        <v>563</v>
      </c>
      <c r="B40" s="3">
        <v>0</v>
      </c>
      <c r="C40" s="3">
        <v>0</v>
      </c>
      <c r="D40" s="3">
        <v>0</v>
      </c>
      <c r="E40" s="3">
        <v>0</v>
      </c>
      <c r="F40" s="3">
        <v>0</v>
      </c>
      <c r="G40" s="3">
        <v>0</v>
      </c>
      <c r="H40" s="3">
        <v>0</v>
      </c>
      <c r="I40" s="3">
        <v>2</v>
      </c>
      <c r="J40" s="3">
        <v>2</v>
      </c>
      <c r="K40" s="3">
        <v>4</v>
      </c>
      <c r="L40" s="3">
        <v>1</v>
      </c>
      <c r="M40" s="3">
        <v>7</v>
      </c>
      <c r="N40" s="3">
        <v>2</v>
      </c>
      <c r="O40" s="3">
        <v>17</v>
      </c>
      <c r="P40" s="3">
        <v>6</v>
      </c>
      <c r="Q40" s="3">
        <v>18</v>
      </c>
      <c r="R40" s="3">
        <v>1</v>
      </c>
      <c r="S40" s="3">
        <v>16</v>
      </c>
      <c r="T40" s="3">
        <v>1</v>
      </c>
      <c r="U40" s="3">
        <v>6</v>
      </c>
      <c r="V40" s="3">
        <v>0</v>
      </c>
      <c r="W40" s="3">
        <v>1</v>
      </c>
      <c r="X40" s="3">
        <v>0</v>
      </c>
      <c r="Y40" s="3">
        <v>0</v>
      </c>
      <c r="Z40" s="6">
        <f t="shared" si="1"/>
        <v>84</v>
      </c>
    </row>
    <row r="41" spans="1:26" ht="12.75">
      <c r="A41" t="s">
        <v>564</v>
      </c>
      <c r="B41" s="3">
        <v>0</v>
      </c>
      <c r="C41" s="3">
        <v>0</v>
      </c>
      <c r="D41" s="3">
        <v>0</v>
      </c>
      <c r="E41" s="3">
        <v>0</v>
      </c>
      <c r="F41" s="3">
        <v>0</v>
      </c>
      <c r="G41" s="3">
        <v>0</v>
      </c>
      <c r="H41" s="3">
        <v>0</v>
      </c>
      <c r="I41" s="3">
        <v>0</v>
      </c>
      <c r="J41" s="3">
        <v>0</v>
      </c>
      <c r="K41" s="3">
        <v>0</v>
      </c>
      <c r="L41" s="3">
        <v>0</v>
      </c>
      <c r="M41" s="3">
        <v>0</v>
      </c>
      <c r="N41" s="3">
        <v>0</v>
      </c>
      <c r="O41" s="3">
        <v>0</v>
      </c>
      <c r="P41" s="3">
        <v>0</v>
      </c>
      <c r="Q41" s="3">
        <v>1</v>
      </c>
      <c r="R41" s="3">
        <v>0</v>
      </c>
      <c r="S41" s="3">
        <v>0</v>
      </c>
      <c r="T41" s="3">
        <v>0</v>
      </c>
      <c r="U41" s="3">
        <v>0</v>
      </c>
      <c r="V41" s="3">
        <v>0</v>
      </c>
      <c r="W41" s="3">
        <v>0</v>
      </c>
      <c r="X41" s="3">
        <v>0</v>
      </c>
      <c r="Y41" s="3">
        <v>0</v>
      </c>
      <c r="Z41" s="6">
        <f t="shared" si="1"/>
        <v>1</v>
      </c>
    </row>
    <row r="42" spans="1:26" ht="12.75">
      <c r="A42" t="s">
        <v>565</v>
      </c>
      <c r="B42" s="3">
        <v>0</v>
      </c>
      <c r="C42" s="3">
        <v>0</v>
      </c>
      <c r="D42" s="3">
        <v>0</v>
      </c>
      <c r="E42" s="3">
        <v>0</v>
      </c>
      <c r="F42" s="3">
        <v>0</v>
      </c>
      <c r="G42" s="3">
        <v>0</v>
      </c>
      <c r="H42" s="3">
        <v>0</v>
      </c>
      <c r="I42" s="3">
        <v>0</v>
      </c>
      <c r="J42" s="3">
        <v>0</v>
      </c>
      <c r="K42" s="3">
        <v>0</v>
      </c>
      <c r="L42" s="3">
        <v>1</v>
      </c>
      <c r="M42" s="3">
        <v>0</v>
      </c>
      <c r="N42" s="3">
        <v>0</v>
      </c>
      <c r="O42" s="3">
        <v>0</v>
      </c>
      <c r="P42" s="3">
        <v>0</v>
      </c>
      <c r="Q42" s="3">
        <v>0</v>
      </c>
      <c r="R42" s="3">
        <v>1</v>
      </c>
      <c r="S42" s="3">
        <v>0</v>
      </c>
      <c r="T42" s="3">
        <v>0</v>
      </c>
      <c r="U42" s="3">
        <v>0</v>
      </c>
      <c r="V42" s="3">
        <v>0</v>
      </c>
      <c r="W42" s="3">
        <v>0</v>
      </c>
      <c r="X42" s="3">
        <v>0</v>
      </c>
      <c r="Y42" s="3">
        <v>0</v>
      </c>
      <c r="Z42" s="6">
        <f t="shared" si="1"/>
        <v>2</v>
      </c>
    </row>
    <row r="43" spans="1:26" ht="12.75">
      <c r="A43" t="s">
        <v>566</v>
      </c>
      <c r="B43" s="3">
        <v>0</v>
      </c>
      <c r="C43" s="3">
        <v>0</v>
      </c>
      <c r="D43" s="3">
        <v>0</v>
      </c>
      <c r="E43" s="3">
        <v>0</v>
      </c>
      <c r="F43" s="3">
        <v>0</v>
      </c>
      <c r="G43" s="3">
        <v>0</v>
      </c>
      <c r="H43" s="3">
        <v>0</v>
      </c>
      <c r="I43" s="3">
        <v>0</v>
      </c>
      <c r="J43" s="3">
        <v>0</v>
      </c>
      <c r="K43" s="3">
        <v>1</v>
      </c>
      <c r="L43" s="3">
        <v>0</v>
      </c>
      <c r="M43" s="3">
        <v>0</v>
      </c>
      <c r="N43" s="3">
        <v>0</v>
      </c>
      <c r="O43" s="3">
        <v>0</v>
      </c>
      <c r="P43" s="3">
        <v>0</v>
      </c>
      <c r="Q43" s="3">
        <v>0</v>
      </c>
      <c r="R43" s="3">
        <v>1</v>
      </c>
      <c r="S43" s="3">
        <v>0</v>
      </c>
      <c r="T43" s="3">
        <v>0</v>
      </c>
      <c r="U43" s="3">
        <v>0</v>
      </c>
      <c r="V43" s="3">
        <v>0</v>
      </c>
      <c r="W43" s="3">
        <v>0</v>
      </c>
      <c r="X43" s="3">
        <v>0</v>
      </c>
      <c r="Y43" s="3">
        <v>0</v>
      </c>
      <c r="Z43" s="6">
        <f t="shared" si="1"/>
        <v>2</v>
      </c>
    </row>
    <row r="44" spans="1:26" ht="12.75">
      <c r="A44" t="s">
        <v>567</v>
      </c>
      <c r="B44" s="3">
        <v>0</v>
      </c>
      <c r="C44" s="3">
        <v>0</v>
      </c>
      <c r="D44" s="3">
        <v>0</v>
      </c>
      <c r="E44" s="3">
        <v>0</v>
      </c>
      <c r="F44" s="3">
        <v>0</v>
      </c>
      <c r="G44" s="3">
        <v>0</v>
      </c>
      <c r="H44" s="3">
        <v>0</v>
      </c>
      <c r="I44" s="3">
        <v>0</v>
      </c>
      <c r="J44" s="3">
        <v>0</v>
      </c>
      <c r="K44" s="3">
        <v>0</v>
      </c>
      <c r="L44" s="3">
        <v>0</v>
      </c>
      <c r="M44" s="3">
        <v>0</v>
      </c>
      <c r="N44" s="3">
        <v>0</v>
      </c>
      <c r="O44" s="3">
        <v>0</v>
      </c>
      <c r="P44" s="3">
        <v>0</v>
      </c>
      <c r="Q44" s="3">
        <v>0</v>
      </c>
      <c r="R44" s="3">
        <v>1</v>
      </c>
      <c r="S44" s="3">
        <v>0</v>
      </c>
      <c r="T44" s="3">
        <v>0</v>
      </c>
      <c r="U44" s="3">
        <v>0</v>
      </c>
      <c r="V44" s="3">
        <v>0</v>
      </c>
      <c r="W44" s="3">
        <v>0</v>
      </c>
      <c r="X44" s="3">
        <v>0</v>
      </c>
      <c r="Y44" s="3">
        <v>0</v>
      </c>
      <c r="Z44" s="6">
        <f t="shared" si="1"/>
        <v>1</v>
      </c>
    </row>
    <row r="45" spans="1:26" ht="12.75">
      <c r="A45" t="s">
        <v>568</v>
      </c>
      <c r="B45" s="3">
        <v>0</v>
      </c>
      <c r="C45" s="3">
        <v>0</v>
      </c>
      <c r="D45" s="3">
        <v>0</v>
      </c>
      <c r="E45" s="3">
        <v>0</v>
      </c>
      <c r="F45" s="3">
        <v>0</v>
      </c>
      <c r="G45" s="3">
        <v>0</v>
      </c>
      <c r="H45" s="3">
        <v>0</v>
      </c>
      <c r="I45" s="3">
        <v>0</v>
      </c>
      <c r="J45" s="3">
        <v>0</v>
      </c>
      <c r="K45" s="3">
        <v>0</v>
      </c>
      <c r="L45" s="3">
        <v>0</v>
      </c>
      <c r="M45" s="3">
        <v>0</v>
      </c>
      <c r="N45" s="3">
        <v>0</v>
      </c>
      <c r="O45" s="3">
        <v>0</v>
      </c>
      <c r="P45" s="3">
        <v>0</v>
      </c>
      <c r="Q45" s="3">
        <v>1</v>
      </c>
      <c r="R45" s="3">
        <v>0</v>
      </c>
      <c r="S45" s="3">
        <v>0</v>
      </c>
      <c r="T45" s="3">
        <v>0</v>
      </c>
      <c r="U45" s="3">
        <v>0</v>
      </c>
      <c r="V45" s="3">
        <v>0</v>
      </c>
      <c r="W45" s="3">
        <v>0</v>
      </c>
      <c r="X45" s="3">
        <v>0</v>
      </c>
      <c r="Y45" s="3">
        <v>0</v>
      </c>
      <c r="Z45" s="6">
        <f t="shared" si="1"/>
        <v>1</v>
      </c>
    </row>
    <row r="46" spans="1:26" ht="12.75">
      <c r="A46" t="s">
        <v>569</v>
      </c>
      <c r="B46" s="3">
        <v>0</v>
      </c>
      <c r="C46" s="3">
        <v>0</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1</v>
      </c>
      <c r="X46" s="3">
        <v>0</v>
      </c>
      <c r="Y46" s="3">
        <v>0</v>
      </c>
      <c r="Z46" s="6">
        <f t="shared" si="1"/>
        <v>1</v>
      </c>
    </row>
    <row r="47" spans="1:26" ht="12.75">
      <c r="A47" t="s">
        <v>570</v>
      </c>
      <c r="B47" s="3">
        <v>0</v>
      </c>
      <c r="C47" s="3">
        <v>0</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4</v>
      </c>
      <c r="V47" s="3">
        <v>0</v>
      </c>
      <c r="W47" s="3">
        <v>0</v>
      </c>
      <c r="X47" s="3">
        <v>0</v>
      </c>
      <c r="Y47" s="3">
        <v>0</v>
      </c>
      <c r="Z47" s="6">
        <f t="shared" si="1"/>
        <v>4</v>
      </c>
    </row>
    <row r="48" spans="1:26" ht="12.75">
      <c r="A48" t="s">
        <v>571</v>
      </c>
      <c r="B48" s="3">
        <v>0</v>
      </c>
      <c r="C48" s="3">
        <v>0</v>
      </c>
      <c r="D48" s="3">
        <v>0</v>
      </c>
      <c r="E48" s="3">
        <v>0</v>
      </c>
      <c r="F48" s="3">
        <v>0</v>
      </c>
      <c r="G48" s="3">
        <v>0</v>
      </c>
      <c r="H48" s="3">
        <v>0</v>
      </c>
      <c r="I48" s="3">
        <v>0</v>
      </c>
      <c r="J48" s="3">
        <v>0</v>
      </c>
      <c r="K48" s="3">
        <v>1</v>
      </c>
      <c r="L48" s="3">
        <v>0</v>
      </c>
      <c r="M48" s="3">
        <v>3</v>
      </c>
      <c r="N48" s="3">
        <v>0</v>
      </c>
      <c r="O48" s="3">
        <v>2</v>
      </c>
      <c r="P48" s="3">
        <v>0</v>
      </c>
      <c r="Q48" s="3">
        <v>1</v>
      </c>
      <c r="R48" s="3">
        <v>0</v>
      </c>
      <c r="S48" s="3">
        <v>3</v>
      </c>
      <c r="T48" s="3">
        <v>1</v>
      </c>
      <c r="U48" s="3">
        <v>6</v>
      </c>
      <c r="V48" s="3">
        <v>1</v>
      </c>
      <c r="W48" s="3">
        <v>3</v>
      </c>
      <c r="X48" s="3">
        <v>0</v>
      </c>
      <c r="Y48" s="3">
        <v>0</v>
      </c>
      <c r="Z48" s="6">
        <f t="shared" si="1"/>
        <v>21</v>
      </c>
    </row>
    <row r="49" spans="1:26" ht="12.75">
      <c r="A49" t="s">
        <v>572</v>
      </c>
      <c r="B49" s="3">
        <v>0</v>
      </c>
      <c r="C49" s="3">
        <v>0</v>
      </c>
      <c r="D49" s="3">
        <v>0</v>
      </c>
      <c r="E49" s="3">
        <v>0</v>
      </c>
      <c r="F49" s="3">
        <v>0</v>
      </c>
      <c r="G49" s="3">
        <v>0</v>
      </c>
      <c r="H49" s="3">
        <v>0</v>
      </c>
      <c r="I49" s="3">
        <v>0</v>
      </c>
      <c r="J49" s="3">
        <v>0</v>
      </c>
      <c r="K49" s="3">
        <v>0</v>
      </c>
      <c r="L49" s="3">
        <v>0</v>
      </c>
      <c r="M49" s="3">
        <v>0</v>
      </c>
      <c r="N49" s="3">
        <v>0</v>
      </c>
      <c r="O49" s="3">
        <v>0</v>
      </c>
      <c r="P49" s="3">
        <v>0</v>
      </c>
      <c r="Q49" s="3">
        <v>0</v>
      </c>
      <c r="R49" s="3">
        <v>0</v>
      </c>
      <c r="S49" s="3">
        <v>0</v>
      </c>
      <c r="T49" s="3">
        <v>2</v>
      </c>
      <c r="U49" s="3">
        <v>0</v>
      </c>
      <c r="V49" s="3">
        <v>1</v>
      </c>
      <c r="W49" s="3">
        <v>0</v>
      </c>
      <c r="X49" s="3">
        <v>0</v>
      </c>
      <c r="Y49" s="3">
        <v>0</v>
      </c>
      <c r="Z49" s="6">
        <f t="shared" si="1"/>
        <v>3</v>
      </c>
    </row>
    <row r="50" spans="1:26" ht="12.75">
      <c r="A50" t="s">
        <v>573</v>
      </c>
      <c r="B50" s="3">
        <v>0</v>
      </c>
      <c r="C50" s="3">
        <v>0</v>
      </c>
      <c r="D50" s="3">
        <v>0</v>
      </c>
      <c r="E50" s="3">
        <v>0</v>
      </c>
      <c r="F50" s="3">
        <v>0</v>
      </c>
      <c r="G50" s="3">
        <v>0</v>
      </c>
      <c r="H50" s="3">
        <v>1</v>
      </c>
      <c r="I50" s="3">
        <v>1</v>
      </c>
      <c r="J50" s="3">
        <v>2</v>
      </c>
      <c r="K50" s="3">
        <v>0</v>
      </c>
      <c r="L50" s="3">
        <v>1</v>
      </c>
      <c r="M50" s="3">
        <v>1</v>
      </c>
      <c r="N50" s="3">
        <v>1</v>
      </c>
      <c r="O50" s="3">
        <v>0</v>
      </c>
      <c r="P50" s="3">
        <v>0</v>
      </c>
      <c r="Q50" s="3">
        <v>0</v>
      </c>
      <c r="R50" s="3">
        <v>0</v>
      </c>
      <c r="S50" s="3">
        <v>0</v>
      </c>
      <c r="T50" s="3">
        <v>3</v>
      </c>
      <c r="U50" s="3">
        <v>1</v>
      </c>
      <c r="V50" s="3">
        <v>0</v>
      </c>
      <c r="W50" s="3">
        <v>0</v>
      </c>
      <c r="X50" s="3">
        <v>0</v>
      </c>
      <c r="Y50" s="3">
        <v>0</v>
      </c>
      <c r="Z50" s="6">
        <f t="shared" si="1"/>
        <v>11</v>
      </c>
    </row>
    <row r="51" spans="1:26" ht="12.75">
      <c r="A51" t="s">
        <v>574</v>
      </c>
      <c r="B51" s="3">
        <v>0</v>
      </c>
      <c r="C51" s="3">
        <v>0</v>
      </c>
      <c r="D51" s="3">
        <v>0</v>
      </c>
      <c r="E51" s="3">
        <v>0</v>
      </c>
      <c r="F51" s="3">
        <v>1</v>
      </c>
      <c r="G51" s="3">
        <v>0</v>
      </c>
      <c r="H51" s="3">
        <v>1</v>
      </c>
      <c r="I51" s="3">
        <v>0</v>
      </c>
      <c r="J51" s="3">
        <v>2</v>
      </c>
      <c r="K51" s="3">
        <v>1</v>
      </c>
      <c r="L51" s="3">
        <v>4</v>
      </c>
      <c r="M51" s="3">
        <v>2</v>
      </c>
      <c r="N51" s="3">
        <v>1</v>
      </c>
      <c r="O51" s="3">
        <v>1</v>
      </c>
      <c r="P51" s="3">
        <v>1</v>
      </c>
      <c r="Q51" s="3">
        <v>1</v>
      </c>
      <c r="R51" s="3">
        <v>1</v>
      </c>
      <c r="S51" s="3">
        <v>0</v>
      </c>
      <c r="T51" s="3">
        <v>0</v>
      </c>
      <c r="U51" s="3">
        <v>0</v>
      </c>
      <c r="V51" s="3">
        <v>1</v>
      </c>
      <c r="W51" s="3">
        <v>0</v>
      </c>
      <c r="X51" s="3">
        <v>0</v>
      </c>
      <c r="Y51" s="3">
        <v>0</v>
      </c>
      <c r="Z51" s="6">
        <f t="shared" si="1"/>
        <v>17</v>
      </c>
    </row>
    <row r="52" spans="1:26" ht="12.75">
      <c r="A52" t="s">
        <v>575</v>
      </c>
      <c r="B52" s="3">
        <v>0</v>
      </c>
      <c r="C52" s="3">
        <v>0</v>
      </c>
      <c r="D52" s="3">
        <v>0</v>
      </c>
      <c r="E52" s="3">
        <v>0</v>
      </c>
      <c r="F52" s="3">
        <v>0</v>
      </c>
      <c r="G52" s="3">
        <v>0</v>
      </c>
      <c r="H52" s="3">
        <v>0</v>
      </c>
      <c r="I52" s="3">
        <v>0</v>
      </c>
      <c r="J52" s="3">
        <v>0</v>
      </c>
      <c r="K52" s="3">
        <v>0</v>
      </c>
      <c r="L52" s="3">
        <v>1</v>
      </c>
      <c r="M52" s="3">
        <v>1</v>
      </c>
      <c r="N52" s="3">
        <v>1</v>
      </c>
      <c r="O52" s="3">
        <v>0</v>
      </c>
      <c r="P52" s="3">
        <v>0</v>
      </c>
      <c r="Q52" s="3">
        <v>1</v>
      </c>
      <c r="R52" s="3">
        <v>1</v>
      </c>
      <c r="S52" s="3">
        <v>0</v>
      </c>
      <c r="T52" s="3">
        <v>0</v>
      </c>
      <c r="U52" s="3">
        <v>0</v>
      </c>
      <c r="V52" s="3">
        <v>0</v>
      </c>
      <c r="W52" s="3">
        <v>0</v>
      </c>
      <c r="X52" s="3">
        <v>0</v>
      </c>
      <c r="Y52" s="3">
        <v>0</v>
      </c>
      <c r="Z52" s="6">
        <f t="shared" si="1"/>
        <v>5</v>
      </c>
    </row>
    <row r="53" spans="1:26" ht="12.75">
      <c r="A53" t="s">
        <v>576</v>
      </c>
      <c r="B53" s="3">
        <v>0</v>
      </c>
      <c r="C53" s="3">
        <v>0</v>
      </c>
      <c r="D53" s="3">
        <v>0</v>
      </c>
      <c r="E53" s="3">
        <v>0</v>
      </c>
      <c r="F53" s="3">
        <v>0</v>
      </c>
      <c r="G53" s="3">
        <v>0</v>
      </c>
      <c r="H53" s="3">
        <v>0</v>
      </c>
      <c r="I53" s="3">
        <v>0</v>
      </c>
      <c r="J53" s="3">
        <v>0</v>
      </c>
      <c r="K53" s="3">
        <v>0</v>
      </c>
      <c r="L53" s="3">
        <v>0</v>
      </c>
      <c r="M53" s="3">
        <v>0</v>
      </c>
      <c r="N53" s="3">
        <v>0</v>
      </c>
      <c r="O53" s="3">
        <v>0</v>
      </c>
      <c r="P53" s="3">
        <v>0</v>
      </c>
      <c r="Q53" s="3">
        <v>0</v>
      </c>
      <c r="R53" s="3">
        <v>2</v>
      </c>
      <c r="S53" s="3">
        <v>0</v>
      </c>
      <c r="T53" s="3">
        <v>2</v>
      </c>
      <c r="U53" s="3">
        <v>0</v>
      </c>
      <c r="V53" s="3">
        <v>0</v>
      </c>
      <c r="W53" s="3">
        <v>0</v>
      </c>
      <c r="X53" s="3">
        <v>0</v>
      </c>
      <c r="Y53" s="3">
        <v>0</v>
      </c>
      <c r="Z53" s="6">
        <f t="shared" si="1"/>
        <v>4</v>
      </c>
    </row>
    <row r="54" spans="1:26" ht="12.75">
      <c r="A54" t="s">
        <v>577</v>
      </c>
      <c r="B54" s="3">
        <v>0</v>
      </c>
      <c r="C54" s="3">
        <v>0</v>
      </c>
      <c r="D54" s="3">
        <v>0</v>
      </c>
      <c r="E54" s="3">
        <v>0</v>
      </c>
      <c r="F54" s="3">
        <v>0</v>
      </c>
      <c r="G54" s="3">
        <v>0</v>
      </c>
      <c r="H54" s="3">
        <v>0</v>
      </c>
      <c r="I54" s="3">
        <v>1</v>
      </c>
      <c r="J54" s="3">
        <v>0</v>
      </c>
      <c r="K54" s="3">
        <v>0</v>
      </c>
      <c r="L54" s="3">
        <v>0</v>
      </c>
      <c r="M54" s="3">
        <v>0</v>
      </c>
      <c r="N54" s="3">
        <v>3</v>
      </c>
      <c r="O54" s="3">
        <v>0</v>
      </c>
      <c r="P54" s="3">
        <v>0</v>
      </c>
      <c r="Q54" s="3">
        <v>0</v>
      </c>
      <c r="R54" s="3">
        <v>1</v>
      </c>
      <c r="S54" s="3">
        <v>0</v>
      </c>
      <c r="T54" s="3">
        <v>1</v>
      </c>
      <c r="U54" s="3">
        <v>1</v>
      </c>
      <c r="V54" s="3">
        <v>0</v>
      </c>
      <c r="W54" s="3">
        <v>0</v>
      </c>
      <c r="X54" s="3">
        <v>0</v>
      </c>
      <c r="Y54" s="3">
        <v>0</v>
      </c>
      <c r="Z54" s="6">
        <f t="shared" si="1"/>
        <v>7</v>
      </c>
    </row>
    <row r="55" spans="1:26" ht="12.75">
      <c r="A55" t="s">
        <v>578</v>
      </c>
      <c r="B55" s="3">
        <v>0</v>
      </c>
      <c r="C55" s="3">
        <v>0</v>
      </c>
      <c r="D55" s="3">
        <v>0</v>
      </c>
      <c r="E55" s="3">
        <v>0</v>
      </c>
      <c r="F55" s="3">
        <v>0</v>
      </c>
      <c r="G55" s="3">
        <v>1</v>
      </c>
      <c r="H55" s="3">
        <v>0</v>
      </c>
      <c r="I55" s="3">
        <v>2</v>
      </c>
      <c r="J55" s="3">
        <v>2</v>
      </c>
      <c r="K55" s="3">
        <v>3</v>
      </c>
      <c r="L55" s="3">
        <v>0</v>
      </c>
      <c r="M55" s="3">
        <v>5</v>
      </c>
      <c r="N55" s="3">
        <v>6</v>
      </c>
      <c r="O55" s="3">
        <v>11</v>
      </c>
      <c r="P55" s="3">
        <v>3</v>
      </c>
      <c r="Q55" s="3">
        <v>18</v>
      </c>
      <c r="R55" s="3">
        <v>7</v>
      </c>
      <c r="S55" s="3">
        <v>22</v>
      </c>
      <c r="T55" s="3">
        <v>9</v>
      </c>
      <c r="U55" s="3">
        <v>17</v>
      </c>
      <c r="V55" s="3">
        <v>3</v>
      </c>
      <c r="W55" s="3">
        <v>2</v>
      </c>
      <c r="X55" s="3">
        <v>0</v>
      </c>
      <c r="Y55" s="3">
        <v>0</v>
      </c>
      <c r="Z55" s="6">
        <f t="shared" si="1"/>
        <v>111</v>
      </c>
    </row>
    <row r="56" spans="1:26" ht="12.75">
      <c r="A56" t="s">
        <v>579</v>
      </c>
      <c r="B56" s="3">
        <v>0</v>
      </c>
      <c r="C56" s="3">
        <v>0</v>
      </c>
      <c r="D56" s="3">
        <v>0</v>
      </c>
      <c r="E56" s="3">
        <v>0</v>
      </c>
      <c r="F56" s="3">
        <v>1</v>
      </c>
      <c r="G56" s="3">
        <v>2</v>
      </c>
      <c r="H56" s="3">
        <v>3</v>
      </c>
      <c r="I56" s="3">
        <v>0</v>
      </c>
      <c r="J56" s="3">
        <v>4</v>
      </c>
      <c r="K56" s="3">
        <v>0</v>
      </c>
      <c r="L56" s="3">
        <v>1</v>
      </c>
      <c r="M56" s="3">
        <v>5</v>
      </c>
      <c r="N56" s="3">
        <v>1</v>
      </c>
      <c r="O56" s="3">
        <v>3</v>
      </c>
      <c r="P56" s="3">
        <v>8</v>
      </c>
      <c r="Q56" s="3">
        <v>6</v>
      </c>
      <c r="R56" s="3">
        <v>8</v>
      </c>
      <c r="S56" s="3">
        <v>6</v>
      </c>
      <c r="T56" s="3">
        <v>5</v>
      </c>
      <c r="U56" s="3">
        <v>7</v>
      </c>
      <c r="V56" s="3">
        <v>4</v>
      </c>
      <c r="W56" s="3">
        <v>0</v>
      </c>
      <c r="X56" s="3">
        <v>0</v>
      </c>
      <c r="Y56" s="3">
        <v>0</v>
      </c>
      <c r="Z56" s="6">
        <f t="shared" si="1"/>
        <v>64</v>
      </c>
    </row>
    <row r="57" spans="1:26" ht="12.75">
      <c r="A57" t="s">
        <v>580</v>
      </c>
      <c r="B57" s="3">
        <v>0</v>
      </c>
      <c r="C57" s="3">
        <v>0</v>
      </c>
      <c r="D57" s="3">
        <v>0</v>
      </c>
      <c r="E57" s="3">
        <v>0</v>
      </c>
      <c r="F57" s="3">
        <v>0</v>
      </c>
      <c r="G57" s="3">
        <v>0</v>
      </c>
      <c r="H57" s="3">
        <v>0</v>
      </c>
      <c r="I57" s="3">
        <v>0</v>
      </c>
      <c r="J57" s="3">
        <v>0</v>
      </c>
      <c r="K57" s="3">
        <v>0</v>
      </c>
      <c r="L57" s="3">
        <v>0</v>
      </c>
      <c r="M57" s="3">
        <v>0</v>
      </c>
      <c r="N57" s="3">
        <v>0</v>
      </c>
      <c r="O57" s="3">
        <v>0</v>
      </c>
      <c r="P57" s="3">
        <v>0</v>
      </c>
      <c r="Q57" s="3">
        <v>0</v>
      </c>
      <c r="R57" s="3">
        <v>0</v>
      </c>
      <c r="S57" s="3">
        <v>0</v>
      </c>
      <c r="T57" s="3">
        <v>1</v>
      </c>
      <c r="U57" s="3">
        <v>0</v>
      </c>
      <c r="V57" s="3">
        <v>0</v>
      </c>
      <c r="W57" s="3">
        <v>0</v>
      </c>
      <c r="X57" s="3">
        <v>0</v>
      </c>
      <c r="Y57" s="3">
        <v>0</v>
      </c>
      <c r="Z57" s="6">
        <f t="shared" si="1"/>
        <v>1</v>
      </c>
    </row>
    <row r="58" spans="1:26" ht="12.75">
      <c r="A58" t="s">
        <v>581</v>
      </c>
      <c r="B58" s="3">
        <v>0</v>
      </c>
      <c r="C58" s="3">
        <v>0</v>
      </c>
      <c r="D58" s="3">
        <v>0</v>
      </c>
      <c r="E58" s="3">
        <v>0</v>
      </c>
      <c r="F58" s="3">
        <v>0</v>
      </c>
      <c r="G58" s="3">
        <v>0</v>
      </c>
      <c r="H58" s="3">
        <v>1</v>
      </c>
      <c r="I58" s="3">
        <v>0</v>
      </c>
      <c r="J58" s="3">
        <v>0</v>
      </c>
      <c r="K58" s="3">
        <v>0</v>
      </c>
      <c r="L58" s="3">
        <v>2</v>
      </c>
      <c r="M58" s="3">
        <v>1</v>
      </c>
      <c r="N58" s="3">
        <v>3</v>
      </c>
      <c r="O58" s="3">
        <v>9</v>
      </c>
      <c r="P58" s="3">
        <v>4</v>
      </c>
      <c r="Q58" s="3">
        <v>17</v>
      </c>
      <c r="R58" s="3">
        <v>7</v>
      </c>
      <c r="S58" s="3">
        <v>22</v>
      </c>
      <c r="T58" s="3">
        <v>5</v>
      </c>
      <c r="U58" s="3">
        <v>13</v>
      </c>
      <c r="V58" s="3">
        <v>1</v>
      </c>
      <c r="W58" s="3">
        <v>5</v>
      </c>
      <c r="X58" s="3">
        <v>0</v>
      </c>
      <c r="Y58" s="3">
        <v>0</v>
      </c>
      <c r="Z58" s="6">
        <f t="shared" si="1"/>
        <v>90</v>
      </c>
    </row>
    <row r="59" spans="1:26" ht="12.75">
      <c r="A59" t="s">
        <v>582</v>
      </c>
      <c r="B59" s="3">
        <v>0</v>
      </c>
      <c r="C59" s="3">
        <v>0</v>
      </c>
      <c r="D59" s="3">
        <v>0</v>
      </c>
      <c r="E59" s="3">
        <v>0</v>
      </c>
      <c r="F59" s="3">
        <v>0</v>
      </c>
      <c r="G59" s="3">
        <v>0</v>
      </c>
      <c r="H59" s="3">
        <v>0</v>
      </c>
      <c r="I59" s="3">
        <v>0</v>
      </c>
      <c r="J59" s="3">
        <v>0</v>
      </c>
      <c r="K59" s="3">
        <v>0</v>
      </c>
      <c r="L59" s="3">
        <v>0</v>
      </c>
      <c r="M59" s="3">
        <v>0</v>
      </c>
      <c r="N59" s="3">
        <v>0</v>
      </c>
      <c r="O59" s="3">
        <v>0</v>
      </c>
      <c r="P59" s="3">
        <v>0</v>
      </c>
      <c r="Q59" s="3">
        <v>0</v>
      </c>
      <c r="R59" s="3">
        <v>1</v>
      </c>
      <c r="S59" s="3">
        <v>0</v>
      </c>
      <c r="T59" s="3">
        <v>0</v>
      </c>
      <c r="U59" s="3">
        <v>0</v>
      </c>
      <c r="V59" s="3">
        <v>0</v>
      </c>
      <c r="W59" s="3">
        <v>0</v>
      </c>
      <c r="X59" s="3">
        <v>0</v>
      </c>
      <c r="Y59" s="3">
        <v>0</v>
      </c>
      <c r="Z59" s="6">
        <f t="shared" si="1"/>
        <v>1</v>
      </c>
    </row>
    <row r="60" spans="1:26" ht="12.75">
      <c r="A60" t="s">
        <v>583</v>
      </c>
      <c r="B60" s="3">
        <v>0</v>
      </c>
      <c r="C60" s="3">
        <v>0</v>
      </c>
      <c r="D60" s="3">
        <v>0</v>
      </c>
      <c r="E60" s="3">
        <v>0</v>
      </c>
      <c r="F60" s="3">
        <v>0</v>
      </c>
      <c r="G60" s="3">
        <v>0</v>
      </c>
      <c r="H60" s="3">
        <v>0</v>
      </c>
      <c r="I60" s="3">
        <v>0</v>
      </c>
      <c r="J60" s="3">
        <v>0</v>
      </c>
      <c r="K60" s="3">
        <v>0</v>
      </c>
      <c r="L60" s="3">
        <v>0</v>
      </c>
      <c r="M60" s="3">
        <v>3</v>
      </c>
      <c r="N60" s="3">
        <v>0</v>
      </c>
      <c r="O60" s="3">
        <v>3</v>
      </c>
      <c r="P60" s="3">
        <v>1</v>
      </c>
      <c r="Q60" s="3">
        <v>2</v>
      </c>
      <c r="R60" s="3">
        <v>0</v>
      </c>
      <c r="S60" s="3">
        <v>0</v>
      </c>
      <c r="T60" s="3">
        <v>0</v>
      </c>
      <c r="U60" s="3">
        <v>0</v>
      </c>
      <c r="V60" s="3">
        <v>0</v>
      </c>
      <c r="W60" s="3">
        <v>0</v>
      </c>
      <c r="X60" s="3">
        <v>0</v>
      </c>
      <c r="Y60" s="3">
        <v>0</v>
      </c>
      <c r="Z60" s="6">
        <f t="shared" si="1"/>
        <v>9</v>
      </c>
    </row>
    <row r="61" spans="1:26" ht="12.75">
      <c r="A61" t="s">
        <v>584</v>
      </c>
      <c r="B61" s="3">
        <v>0</v>
      </c>
      <c r="C61" s="3">
        <v>0</v>
      </c>
      <c r="D61" s="3">
        <v>0</v>
      </c>
      <c r="E61" s="3">
        <v>0</v>
      </c>
      <c r="F61" s="3">
        <v>0</v>
      </c>
      <c r="G61" s="3">
        <v>0</v>
      </c>
      <c r="H61" s="3">
        <v>0</v>
      </c>
      <c r="I61" s="3">
        <v>0</v>
      </c>
      <c r="J61" s="3">
        <v>0</v>
      </c>
      <c r="K61" s="3">
        <v>0</v>
      </c>
      <c r="L61" s="3">
        <v>0</v>
      </c>
      <c r="M61" s="3">
        <v>0</v>
      </c>
      <c r="N61" s="3">
        <v>0</v>
      </c>
      <c r="O61" s="3">
        <v>0</v>
      </c>
      <c r="P61" s="3">
        <v>1</v>
      </c>
      <c r="Q61" s="3">
        <v>0</v>
      </c>
      <c r="R61" s="3">
        <v>0</v>
      </c>
      <c r="S61" s="3">
        <v>1</v>
      </c>
      <c r="T61" s="3">
        <v>0</v>
      </c>
      <c r="U61" s="3">
        <v>0</v>
      </c>
      <c r="V61" s="3">
        <v>0</v>
      </c>
      <c r="W61" s="3">
        <v>0</v>
      </c>
      <c r="X61" s="3">
        <v>0</v>
      </c>
      <c r="Y61" s="3">
        <v>0</v>
      </c>
      <c r="Z61" s="6">
        <f t="shared" si="1"/>
        <v>2</v>
      </c>
    </row>
    <row r="62" spans="1:26" ht="12.75">
      <c r="A62" t="s">
        <v>585</v>
      </c>
      <c r="B62" s="3">
        <v>0</v>
      </c>
      <c r="C62" s="3">
        <v>0</v>
      </c>
      <c r="D62" s="3">
        <v>0</v>
      </c>
      <c r="E62" s="3">
        <v>0</v>
      </c>
      <c r="F62" s="3">
        <v>0</v>
      </c>
      <c r="G62" s="3">
        <v>1</v>
      </c>
      <c r="H62" s="3">
        <v>1</v>
      </c>
      <c r="I62" s="3">
        <v>2</v>
      </c>
      <c r="J62" s="3">
        <v>1</v>
      </c>
      <c r="K62" s="3">
        <v>2</v>
      </c>
      <c r="L62" s="3">
        <v>3</v>
      </c>
      <c r="M62" s="3">
        <v>8</v>
      </c>
      <c r="N62" s="3">
        <v>3</v>
      </c>
      <c r="O62" s="3">
        <v>9</v>
      </c>
      <c r="P62" s="3">
        <v>2</v>
      </c>
      <c r="Q62" s="3">
        <v>5</v>
      </c>
      <c r="R62" s="3">
        <v>7</v>
      </c>
      <c r="S62" s="3">
        <v>7</v>
      </c>
      <c r="T62" s="3">
        <v>8</v>
      </c>
      <c r="U62" s="3">
        <v>8</v>
      </c>
      <c r="V62" s="3">
        <v>0</v>
      </c>
      <c r="W62" s="3">
        <v>0</v>
      </c>
      <c r="X62" s="3">
        <v>0</v>
      </c>
      <c r="Y62" s="3">
        <v>0</v>
      </c>
      <c r="Z62" s="6">
        <f t="shared" si="1"/>
        <v>67</v>
      </c>
    </row>
    <row r="63" spans="1:26" ht="12.75">
      <c r="A63" t="s">
        <v>586</v>
      </c>
      <c r="B63" s="3">
        <v>0</v>
      </c>
      <c r="C63" s="3">
        <v>0</v>
      </c>
      <c r="D63" s="3">
        <v>0</v>
      </c>
      <c r="E63" s="3">
        <v>0</v>
      </c>
      <c r="F63" s="3">
        <v>1</v>
      </c>
      <c r="G63" s="3">
        <v>0</v>
      </c>
      <c r="H63" s="3">
        <v>2</v>
      </c>
      <c r="I63" s="3">
        <v>0</v>
      </c>
      <c r="J63" s="3">
        <v>6</v>
      </c>
      <c r="K63" s="3">
        <v>8</v>
      </c>
      <c r="L63" s="3">
        <v>8</v>
      </c>
      <c r="M63" s="3">
        <v>13</v>
      </c>
      <c r="N63" s="3">
        <v>6</v>
      </c>
      <c r="O63" s="3">
        <v>8</v>
      </c>
      <c r="P63" s="3">
        <v>4</v>
      </c>
      <c r="Q63" s="3">
        <v>12</v>
      </c>
      <c r="R63" s="3">
        <v>11</v>
      </c>
      <c r="S63" s="3">
        <v>20</v>
      </c>
      <c r="T63" s="3">
        <v>11</v>
      </c>
      <c r="U63" s="3">
        <v>10</v>
      </c>
      <c r="V63" s="3">
        <v>3</v>
      </c>
      <c r="W63" s="3">
        <v>3</v>
      </c>
      <c r="X63" s="3">
        <v>0</v>
      </c>
      <c r="Y63" s="3">
        <v>0</v>
      </c>
      <c r="Z63" s="6">
        <f t="shared" si="1"/>
        <v>126</v>
      </c>
    </row>
    <row r="64" spans="1:26" ht="12.75">
      <c r="A64" t="s">
        <v>587</v>
      </c>
      <c r="B64" s="3">
        <v>0</v>
      </c>
      <c r="C64" s="3">
        <v>0</v>
      </c>
      <c r="D64" s="3">
        <v>0</v>
      </c>
      <c r="E64" s="3">
        <v>0</v>
      </c>
      <c r="F64" s="3">
        <v>0</v>
      </c>
      <c r="G64" s="3">
        <v>0</v>
      </c>
      <c r="H64" s="3">
        <v>0</v>
      </c>
      <c r="I64" s="3">
        <v>0</v>
      </c>
      <c r="J64" s="3">
        <v>0</v>
      </c>
      <c r="K64" s="3">
        <v>0</v>
      </c>
      <c r="L64" s="3">
        <v>0</v>
      </c>
      <c r="M64" s="3">
        <v>0</v>
      </c>
      <c r="N64" s="3">
        <v>0</v>
      </c>
      <c r="O64" s="3">
        <v>0</v>
      </c>
      <c r="P64" s="3">
        <v>0</v>
      </c>
      <c r="Q64" s="3">
        <v>1</v>
      </c>
      <c r="R64" s="3">
        <v>0</v>
      </c>
      <c r="S64" s="3">
        <v>0</v>
      </c>
      <c r="T64" s="3">
        <v>0</v>
      </c>
      <c r="U64" s="3">
        <v>1</v>
      </c>
      <c r="V64" s="3">
        <v>0</v>
      </c>
      <c r="W64" s="3">
        <v>0</v>
      </c>
      <c r="X64" s="3">
        <v>0</v>
      </c>
      <c r="Y64" s="3">
        <v>0</v>
      </c>
      <c r="Z64" s="6">
        <f t="shared" si="1"/>
        <v>2</v>
      </c>
    </row>
    <row r="65" spans="1:26" ht="12.75">
      <c r="A65" t="s">
        <v>588</v>
      </c>
      <c r="B65" s="3">
        <v>0</v>
      </c>
      <c r="C65" s="3">
        <v>0</v>
      </c>
      <c r="D65" s="3">
        <v>0</v>
      </c>
      <c r="E65" s="3">
        <v>0</v>
      </c>
      <c r="F65" s="3">
        <v>0</v>
      </c>
      <c r="G65" s="3">
        <v>2</v>
      </c>
      <c r="H65" s="3">
        <v>0</v>
      </c>
      <c r="I65" s="3">
        <v>0</v>
      </c>
      <c r="J65" s="3">
        <v>0</v>
      </c>
      <c r="K65" s="3">
        <v>0</v>
      </c>
      <c r="L65" s="3">
        <v>0</v>
      </c>
      <c r="M65" s="3">
        <v>0</v>
      </c>
      <c r="N65" s="3">
        <v>1</v>
      </c>
      <c r="O65" s="3">
        <v>1</v>
      </c>
      <c r="P65" s="3">
        <v>4</v>
      </c>
      <c r="Q65" s="3">
        <v>1</v>
      </c>
      <c r="R65" s="3">
        <v>4</v>
      </c>
      <c r="S65" s="3">
        <v>6</v>
      </c>
      <c r="T65" s="3">
        <v>2</v>
      </c>
      <c r="U65" s="3">
        <v>6</v>
      </c>
      <c r="V65" s="3">
        <v>1</v>
      </c>
      <c r="W65" s="3">
        <v>0</v>
      </c>
      <c r="X65" s="3">
        <v>0</v>
      </c>
      <c r="Y65" s="3">
        <v>0</v>
      </c>
      <c r="Z65" s="6">
        <f t="shared" si="1"/>
        <v>28</v>
      </c>
    </row>
    <row r="66" spans="1:26" ht="12.75">
      <c r="A66" t="s">
        <v>589</v>
      </c>
      <c r="B66" s="3">
        <v>0</v>
      </c>
      <c r="C66" s="3">
        <v>0</v>
      </c>
      <c r="D66" s="3">
        <v>0</v>
      </c>
      <c r="E66" s="3">
        <v>0</v>
      </c>
      <c r="F66" s="3">
        <v>0</v>
      </c>
      <c r="G66" s="3">
        <v>0</v>
      </c>
      <c r="H66" s="3">
        <v>0</v>
      </c>
      <c r="I66" s="3">
        <v>0</v>
      </c>
      <c r="J66" s="3">
        <v>0</v>
      </c>
      <c r="K66" s="3">
        <v>0</v>
      </c>
      <c r="L66" s="3">
        <v>0</v>
      </c>
      <c r="M66" s="3">
        <v>0</v>
      </c>
      <c r="N66" s="3">
        <v>0</v>
      </c>
      <c r="O66" s="3">
        <v>0</v>
      </c>
      <c r="P66" s="3">
        <v>0</v>
      </c>
      <c r="Q66" s="3">
        <v>2</v>
      </c>
      <c r="R66" s="3">
        <v>0</v>
      </c>
      <c r="S66" s="3">
        <v>0</v>
      </c>
      <c r="T66" s="3">
        <v>1</v>
      </c>
      <c r="U66" s="3">
        <v>1</v>
      </c>
      <c r="V66" s="3">
        <v>0</v>
      </c>
      <c r="W66" s="3">
        <v>1</v>
      </c>
      <c r="X66" s="3">
        <v>0</v>
      </c>
      <c r="Y66" s="3">
        <v>0</v>
      </c>
      <c r="Z66" s="6">
        <f t="shared" si="1"/>
        <v>5</v>
      </c>
    </row>
    <row r="67" spans="1:26" ht="12.75">
      <c r="A67" s="2" t="s">
        <v>527</v>
      </c>
      <c r="B67" s="6">
        <f aca="true" t="shared" si="2" ref="B67:Z67">SUM(B7:B66)</f>
        <v>0</v>
      </c>
      <c r="C67" s="6">
        <f t="shared" si="2"/>
        <v>0</v>
      </c>
      <c r="D67" s="6">
        <f t="shared" si="2"/>
        <v>0</v>
      </c>
      <c r="E67" s="6">
        <f t="shared" si="2"/>
        <v>0</v>
      </c>
      <c r="F67" s="6">
        <f t="shared" si="2"/>
        <v>21</v>
      </c>
      <c r="G67" s="6">
        <f t="shared" si="2"/>
        <v>55</v>
      </c>
      <c r="H67" s="6">
        <f t="shared" si="2"/>
        <v>55</v>
      </c>
      <c r="I67" s="6">
        <f t="shared" si="2"/>
        <v>129</v>
      </c>
      <c r="J67" s="6">
        <f t="shared" si="2"/>
        <v>81</v>
      </c>
      <c r="K67" s="6">
        <f t="shared" si="2"/>
        <v>163</v>
      </c>
      <c r="L67" s="6">
        <f t="shared" si="2"/>
        <v>86</v>
      </c>
      <c r="M67" s="6">
        <f t="shared" si="2"/>
        <v>222</v>
      </c>
      <c r="N67" s="6">
        <f t="shared" si="2"/>
        <v>124</v>
      </c>
      <c r="O67" s="6">
        <f t="shared" si="2"/>
        <v>308</v>
      </c>
      <c r="P67" s="6">
        <f t="shared" si="2"/>
        <v>150</v>
      </c>
      <c r="Q67" s="6">
        <f t="shared" si="2"/>
        <v>315</v>
      </c>
      <c r="R67" s="6">
        <f t="shared" si="2"/>
        <v>176</v>
      </c>
      <c r="S67" s="6">
        <f t="shared" si="2"/>
        <v>344</v>
      </c>
      <c r="T67" s="6">
        <f t="shared" si="2"/>
        <v>177</v>
      </c>
      <c r="U67" s="6">
        <f t="shared" si="2"/>
        <v>222</v>
      </c>
      <c r="V67" s="6">
        <f t="shared" si="2"/>
        <v>60</v>
      </c>
      <c r="W67" s="6">
        <f t="shared" si="2"/>
        <v>27</v>
      </c>
      <c r="X67" s="6">
        <f t="shared" si="2"/>
        <v>5</v>
      </c>
      <c r="Y67" s="6">
        <f t="shared" si="2"/>
        <v>3</v>
      </c>
      <c r="Z67" s="6">
        <f t="shared" si="2"/>
        <v>2723</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N67"/>
  <sheetViews>
    <sheetView zoomScalePageLayoutView="0" workbookViewId="0" topLeftCell="A1">
      <selection activeCell="A1" sqref="A1"/>
    </sheetView>
  </sheetViews>
  <sheetFormatPr defaultColWidth="9.140625" defaultRowHeight="12.75"/>
  <sheetData>
    <row r="1" ht="18">
      <c r="A1" s="1" t="s">
        <v>782</v>
      </c>
    </row>
    <row r="5" spans="2:14" ht="12.75">
      <c r="B5" s="2" t="s">
        <v>783</v>
      </c>
      <c r="D5" s="2" t="s">
        <v>784</v>
      </c>
      <c r="F5" s="2" t="s">
        <v>785</v>
      </c>
      <c r="H5" s="2" t="s">
        <v>786</v>
      </c>
      <c r="J5" s="2" t="s">
        <v>787</v>
      </c>
      <c r="L5" s="2" t="s">
        <v>788</v>
      </c>
      <c r="N5" s="2" t="s">
        <v>641</v>
      </c>
    </row>
    <row r="6" spans="1:13" ht="12.75">
      <c r="A6" s="2" t="s">
        <v>522</v>
      </c>
      <c r="B6" t="s">
        <v>528</v>
      </c>
      <c r="C6" t="s">
        <v>529</v>
      </c>
      <c r="D6" t="s">
        <v>528</v>
      </c>
      <c r="E6" t="s">
        <v>529</v>
      </c>
      <c r="F6" t="s">
        <v>528</v>
      </c>
      <c r="G6" t="s">
        <v>529</v>
      </c>
      <c r="H6" t="s">
        <v>528</v>
      </c>
      <c r="I6" t="s">
        <v>529</v>
      </c>
      <c r="J6" t="s">
        <v>528</v>
      </c>
      <c r="K6" t="s">
        <v>529</v>
      </c>
      <c r="L6" t="s">
        <v>528</v>
      </c>
      <c r="M6" t="s">
        <v>529</v>
      </c>
    </row>
    <row r="7" spans="1:14" ht="12.75">
      <c r="A7" t="s">
        <v>530</v>
      </c>
      <c r="B7" s="3">
        <v>0</v>
      </c>
      <c r="C7" s="3">
        <v>0</v>
      </c>
      <c r="D7" s="3">
        <v>0</v>
      </c>
      <c r="E7" s="3">
        <v>0</v>
      </c>
      <c r="F7" s="3">
        <v>0</v>
      </c>
      <c r="G7" s="3">
        <v>0</v>
      </c>
      <c r="H7" s="3">
        <v>0</v>
      </c>
      <c r="I7" s="3">
        <v>1</v>
      </c>
      <c r="J7" s="3">
        <v>0</v>
      </c>
      <c r="K7" s="3">
        <v>0</v>
      </c>
      <c r="L7" s="3">
        <v>0</v>
      </c>
      <c r="M7" s="3">
        <v>0</v>
      </c>
      <c r="N7" s="6">
        <f aca="true" t="shared" si="0" ref="N7:N38">SUM(B7:M7)</f>
        <v>1</v>
      </c>
    </row>
    <row r="8" spans="1:14" ht="12.75">
      <c r="A8" t="s">
        <v>531</v>
      </c>
      <c r="B8" s="3">
        <v>0</v>
      </c>
      <c r="C8" s="3">
        <v>0</v>
      </c>
      <c r="D8" s="3">
        <v>0</v>
      </c>
      <c r="E8" s="3">
        <v>0</v>
      </c>
      <c r="F8" s="3">
        <v>0</v>
      </c>
      <c r="G8" s="3">
        <v>0</v>
      </c>
      <c r="H8" s="3">
        <v>0</v>
      </c>
      <c r="I8" s="3">
        <v>1</v>
      </c>
      <c r="J8" s="3">
        <v>0</v>
      </c>
      <c r="K8" s="3">
        <v>0</v>
      </c>
      <c r="L8" s="3">
        <v>0</v>
      </c>
      <c r="M8" s="3">
        <v>0</v>
      </c>
      <c r="N8" s="6">
        <f t="shared" si="0"/>
        <v>1</v>
      </c>
    </row>
    <row r="9" spans="1:14" ht="12.75">
      <c r="A9" t="s">
        <v>532</v>
      </c>
      <c r="B9" s="3">
        <v>0</v>
      </c>
      <c r="C9" s="3">
        <v>0</v>
      </c>
      <c r="D9" s="3">
        <v>0</v>
      </c>
      <c r="E9" s="3">
        <v>0</v>
      </c>
      <c r="F9" s="3">
        <v>0</v>
      </c>
      <c r="G9" s="3">
        <v>0</v>
      </c>
      <c r="H9" s="3">
        <v>0</v>
      </c>
      <c r="I9" s="3">
        <v>1</v>
      </c>
      <c r="J9" s="3">
        <v>0</v>
      </c>
      <c r="K9" s="3">
        <v>0</v>
      </c>
      <c r="L9" s="3">
        <v>0</v>
      </c>
      <c r="M9" s="3">
        <v>0</v>
      </c>
      <c r="N9" s="6">
        <f t="shared" si="0"/>
        <v>1</v>
      </c>
    </row>
    <row r="10" spans="1:14" ht="12.75">
      <c r="A10" t="s">
        <v>533</v>
      </c>
      <c r="B10" s="3">
        <v>0</v>
      </c>
      <c r="C10" s="3">
        <v>0</v>
      </c>
      <c r="D10" s="3">
        <v>0</v>
      </c>
      <c r="E10" s="3">
        <v>0</v>
      </c>
      <c r="F10" s="3">
        <v>0</v>
      </c>
      <c r="G10" s="3">
        <v>0</v>
      </c>
      <c r="H10" s="3">
        <v>0</v>
      </c>
      <c r="I10" s="3">
        <v>0</v>
      </c>
      <c r="J10" s="3">
        <v>28</v>
      </c>
      <c r="K10" s="3">
        <v>8</v>
      </c>
      <c r="L10" s="3">
        <v>0</v>
      </c>
      <c r="M10" s="3">
        <v>0</v>
      </c>
      <c r="N10" s="6">
        <f t="shared" si="0"/>
        <v>36</v>
      </c>
    </row>
    <row r="11" spans="1:14" ht="12.75">
      <c r="A11" t="s">
        <v>534</v>
      </c>
      <c r="B11" s="3">
        <v>0</v>
      </c>
      <c r="C11" s="3">
        <v>0</v>
      </c>
      <c r="D11" s="3">
        <v>0</v>
      </c>
      <c r="E11" s="3">
        <v>0</v>
      </c>
      <c r="F11" s="3">
        <v>0</v>
      </c>
      <c r="G11" s="3">
        <v>0</v>
      </c>
      <c r="H11" s="3">
        <v>0</v>
      </c>
      <c r="I11" s="3">
        <v>0</v>
      </c>
      <c r="J11" s="3">
        <v>1</v>
      </c>
      <c r="K11" s="3">
        <v>0</v>
      </c>
      <c r="L11" s="3">
        <v>0</v>
      </c>
      <c r="M11" s="3">
        <v>0</v>
      </c>
      <c r="N11" s="6">
        <f t="shared" si="0"/>
        <v>1</v>
      </c>
    </row>
    <row r="12" spans="1:14" ht="12.75">
      <c r="A12" t="s">
        <v>535</v>
      </c>
      <c r="B12" s="3">
        <v>0</v>
      </c>
      <c r="C12" s="3">
        <v>0</v>
      </c>
      <c r="D12" s="3">
        <v>0</v>
      </c>
      <c r="E12" s="3">
        <v>0</v>
      </c>
      <c r="F12" s="3">
        <v>0</v>
      </c>
      <c r="G12" s="3">
        <v>0</v>
      </c>
      <c r="H12" s="3">
        <v>0</v>
      </c>
      <c r="I12" s="3">
        <v>0</v>
      </c>
      <c r="J12" s="3">
        <v>28</v>
      </c>
      <c r="K12" s="3">
        <v>12</v>
      </c>
      <c r="L12" s="3">
        <v>0</v>
      </c>
      <c r="M12" s="3">
        <v>0</v>
      </c>
      <c r="N12" s="6">
        <f t="shared" si="0"/>
        <v>40</v>
      </c>
    </row>
    <row r="13" spans="1:14" ht="12.75">
      <c r="A13" t="s">
        <v>536</v>
      </c>
      <c r="B13" s="3">
        <v>0</v>
      </c>
      <c r="C13" s="3">
        <v>0</v>
      </c>
      <c r="D13" s="3">
        <v>0</v>
      </c>
      <c r="E13" s="3">
        <v>0</v>
      </c>
      <c r="F13" s="3">
        <v>0</v>
      </c>
      <c r="G13" s="3">
        <v>0</v>
      </c>
      <c r="H13" s="3">
        <v>0</v>
      </c>
      <c r="I13" s="3">
        <v>0</v>
      </c>
      <c r="J13" s="3">
        <v>6</v>
      </c>
      <c r="K13" s="3">
        <v>0</v>
      </c>
      <c r="L13" s="3">
        <v>0</v>
      </c>
      <c r="M13" s="3">
        <v>0</v>
      </c>
      <c r="N13" s="6">
        <f t="shared" si="0"/>
        <v>6</v>
      </c>
    </row>
    <row r="14" spans="1:14" ht="12.75">
      <c r="A14" t="s">
        <v>537</v>
      </c>
      <c r="B14" s="3">
        <v>0</v>
      </c>
      <c r="C14" s="3">
        <v>0</v>
      </c>
      <c r="D14" s="3">
        <v>0</v>
      </c>
      <c r="E14" s="3">
        <v>0</v>
      </c>
      <c r="F14" s="3">
        <v>0</v>
      </c>
      <c r="G14" s="3">
        <v>0</v>
      </c>
      <c r="H14" s="3">
        <v>0</v>
      </c>
      <c r="I14" s="3">
        <v>0</v>
      </c>
      <c r="J14" s="3">
        <v>143</v>
      </c>
      <c r="K14" s="3">
        <v>169</v>
      </c>
      <c r="L14" s="3">
        <v>0</v>
      </c>
      <c r="M14" s="3">
        <v>0</v>
      </c>
      <c r="N14" s="6">
        <f t="shared" si="0"/>
        <v>312</v>
      </c>
    </row>
    <row r="15" spans="1:14" ht="12.75">
      <c r="A15" t="s">
        <v>538</v>
      </c>
      <c r="B15" s="3">
        <v>0</v>
      </c>
      <c r="C15" s="3">
        <v>0</v>
      </c>
      <c r="D15" s="3">
        <v>0</v>
      </c>
      <c r="E15" s="3">
        <v>0</v>
      </c>
      <c r="F15" s="3">
        <v>0</v>
      </c>
      <c r="G15" s="3">
        <v>0</v>
      </c>
      <c r="H15" s="3">
        <v>0</v>
      </c>
      <c r="I15" s="3">
        <v>0</v>
      </c>
      <c r="J15" s="3">
        <v>45</v>
      </c>
      <c r="K15" s="3">
        <v>35</v>
      </c>
      <c r="L15" s="3">
        <v>0</v>
      </c>
      <c r="M15" s="3">
        <v>0</v>
      </c>
      <c r="N15" s="6">
        <f t="shared" si="0"/>
        <v>80</v>
      </c>
    </row>
    <row r="16" spans="1:14" ht="12.75">
      <c r="A16" t="s">
        <v>539</v>
      </c>
      <c r="B16" s="3">
        <v>0</v>
      </c>
      <c r="C16" s="3">
        <v>0</v>
      </c>
      <c r="D16" s="3">
        <v>0</v>
      </c>
      <c r="E16" s="3">
        <v>0</v>
      </c>
      <c r="F16" s="3">
        <v>0</v>
      </c>
      <c r="G16" s="3">
        <v>0</v>
      </c>
      <c r="H16" s="3">
        <v>0</v>
      </c>
      <c r="I16" s="3">
        <v>0</v>
      </c>
      <c r="J16" s="3">
        <v>4</v>
      </c>
      <c r="K16" s="3">
        <v>0</v>
      </c>
      <c r="L16" s="3">
        <v>0</v>
      </c>
      <c r="M16" s="3">
        <v>0</v>
      </c>
      <c r="N16" s="6">
        <f t="shared" si="0"/>
        <v>4</v>
      </c>
    </row>
    <row r="17" spans="1:14" ht="12.75">
      <c r="A17" t="s">
        <v>540</v>
      </c>
      <c r="B17" s="3">
        <v>0</v>
      </c>
      <c r="C17" s="3">
        <v>0</v>
      </c>
      <c r="D17" s="3">
        <v>0</v>
      </c>
      <c r="E17" s="3">
        <v>0</v>
      </c>
      <c r="F17" s="3">
        <v>0</v>
      </c>
      <c r="G17" s="3">
        <v>0</v>
      </c>
      <c r="H17" s="3">
        <v>0</v>
      </c>
      <c r="I17" s="3">
        <v>0</v>
      </c>
      <c r="J17" s="3">
        <v>22</v>
      </c>
      <c r="K17" s="3">
        <v>7</v>
      </c>
      <c r="L17" s="3">
        <v>0</v>
      </c>
      <c r="M17" s="3">
        <v>0</v>
      </c>
      <c r="N17" s="6">
        <f t="shared" si="0"/>
        <v>29</v>
      </c>
    </row>
    <row r="18" spans="1:14" ht="12.75">
      <c r="A18" t="s">
        <v>541</v>
      </c>
      <c r="B18" s="3">
        <v>0</v>
      </c>
      <c r="C18" s="3">
        <v>0</v>
      </c>
      <c r="D18" s="3">
        <v>0</v>
      </c>
      <c r="E18" s="3">
        <v>0</v>
      </c>
      <c r="F18" s="3">
        <v>0</v>
      </c>
      <c r="G18" s="3">
        <v>0</v>
      </c>
      <c r="H18" s="3">
        <v>0</v>
      </c>
      <c r="I18" s="3">
        <v>0</v>
      </c>
      <c r="J18" s="3">
        <v>1</v>
      </c>
      <c r="K18" s="3">
        <v>0</v>
      </c>
      <c r="L18" s="3">
        <v>0</v>
      </c>
      <c r="M18" s="3">
        <v>0</v>
      </c>
      <c r="N18" s="6">
        <f t="shared" si="0"/>
        <v>1</v>
      </c>
    </row>
    <row r="19" spans="1:14" ht="12.75">
      <c r="A19" t="s">
        <v>542</v>
      </c>
      <c r="B19" s="3">
        <v>0</v>
      </c>
      <c r="C19" s="3">
        <v>0</v>
      </c>
      <c r="D19" s="3">
        <v>0</v>
      </c>
      <c r="E19" s="3">
        <v>0</v>
      </c>
      <c r="F19" s="3">
        <v>0</v>
      </c>
      <c r="G19" s="3">
        <v>0</v>
      </c>
      <c r="H19" s="3">
        <v>0</v>
      </c>
      <c r="I19" s="3">
        <v>0</v>
      </c>
      <c r="J19" s="3">
        <v>1</v>
      </c>
      <c r="K19" s="3">
        <v>3</v>
      </c>
      <c r="L19" s="3">
        <v>0</v>
      </c>
      <c r="M19" s="3">
        <v>0</v>
      </c>
      <c r="N19" s="6">
        <f t="shared" si="0"/>
        <v>4</v>
      </c>
    </row>
    <row r="20" spans="1:14" ht="12.75">
      <c r="A20" t="s">
        <v>543</v>
      </c>
      <c r="B20" s="3">
        <v>0</v>
      </c>
      <c r="C20" s="3">
        <v>0</v>
      </c>
      <c r="D20" s="3">
        <v>0</v>
      </c>
      <c r="E20" s="3">
        <v>0</v>
      </c>
      <c r="F20" s="3">
        <v>0</v>
      </c>
      <c r="G20" s="3">
        <v>0</v>
      </c>
      <c r="H20" s="3">
        <v>0</v>
      </c>
      <c r="I20" s="3">
        <v>0</v>
      </c>
      <c r="J20" s="3">
        <v>2</v>
      </c>
      <c r="K20" s="3">
        <v>4</v>
      </c>
      <c r="L20" s="3">
        <v>0</v>
      </c>
      <c r="M20" s="3">
        <v>0</v>
      </c>
      <c r="N20" s="6">
        <f t="shared" si="0"/>
        <v>6</v>
      </c>
    </row>
    <row r="21" spans="1:14" ht="12.75">
      <c r="A21" t="s">
        <v>544</v>
      </c>
      <c r="B21" s="3">
        <v>0</v>
      </c>
      <c r="C21" s="3">
        <v>0</v>
      </c>
      <c r="D21" s="3">
        <v>0</v>
      </c>
      <c r="E21" s="3">
        <v>0</v>
      </c>
      <c r="F21" s="3">
        <v>0</v>
      </c>
      <c r="G21" s="3">
        <v>0</v>
      </c>
      <c r="H21" s="3">
        <v>1</v>
      </c>
      <c r="I21" s="3">
        <v>0</v>
      </c>
      <c r="J21" s="3">
        <v>0</v>
      </c>
      <c r="K21" s="3">
        <v>0</v>
      </c>
      <c r="L21" s="3">
        <v>0</v>
      </c>
      <c r="M21" s="3">
        <v>0</v>
      </c>
      <c r="N21" s="6">
        <f t="shared" si="0"/>
        <v>1</v>
      </c>
    </row>
    <row r="22" spans="1:14" ht="12.75">
      <c r="A22" t="s">
        <v>545</v>
      </c>
      <c r="B22" s="3">
        <v>0</v>
      </c>
      <c r="C22" s="3">
        <v>0</v>
      </c>
      <c r="D22" s="3">
        <v>0</v>
      </c>
      <c r="E22" s="3">
        <v>0</v>
      </c>
      <c r="F22" s="3">
        <v>0</v>
      </c>
      <c r="G22" s="3">
        <v>0</v>
      </c>
      <c r="H22" s="3">
        <v>0</v>
      </c>
      <c r="I22" s="3">
        <v>0</v>
      </c>
      <c r="J22" s="3">
        <v>2</v>
      </c>
      <c r="K22" s="3">
        <v>13</v>
      </c>
      <c r="L22" s="3">
        <v>0</v>
      </c>
      <c r="M22" s="3">
        <v>0</v>
      </c>
      <c r="N22" s="6">
        <f t="shared" si="0"/>
        <v>15</v>
      </c>
    </row>
    <row r="23" spans="1:14" ht="12.75">
      <c r="A23" t="s">
        <v>546</v>
      </c>
      <c r="B23" s="3">
        <v>0</v>
      </c>
      <c r="C23" s="3">
        <v>0</v>
      </c>
      <c r="D23" s="3">
        <v>0</v>
      </c>
      <c r="E23" s="3">
        <v>0</v>
      </c>
      <c r="F23" s="3">
        <v>0</v>
      </c>
      <c r="G23" s="3">
        <v>0</v>
      </c>
      <c r="H23" s="3">
        <v>1</v>
      </c>
      <c r="I23" s="3">
        <v>0</v>
      </c>
      <c r="J23" s="3">
        <v>0</v>
      </c>
      <c r="K23" s="3">
        <v>0</v>
      </c>
      <c r="L23" s="3">
        <v>0</v>
      </c>
      <c r="M23" s="3">
        <v>0</v>
      </c>
      <c r="N23" s="6">
        <f t="shared" si="0"/>
        <v>1</v>
      </c>
    </row>
    <row r="24" spans="1:14" ht="12.75">
      <c r="A24" t="s">
        <v>547</v>
      </c>
      <c r="B24" s="3">
        <v>0</v>
      </c>
      <c r="C24" s="3">
        <v>0</v>
      </c>
      <c r="D24" s="3">
        <v>0</v>
      </c>
      <c r="E24" s="3">
        <v>0</v>
      </c>
      <c r="F24" s="3">
        <v>0</v>
      </c>
      <c r="G24" s="3">
        <v>0</v>
      </c>
      <c r="H24" s="3">
        <v>0</v>
      </c>
      <c r="I24" s="3">
        <v>4</v>
      </c>
      <c r="J24" s="3">
        <v>0</v>
      </c>
      <c r="K24" s="3">
        <v>0</v>
      </c>
      <c r="L24" s="3">
        <v>0</v>
      </c>
      <c r="M24" s="3">
        <v>0</v>
      </c>
      <c r="N24" s="6">
        <f t="shared" si="0"/>
        <v>4</v>
      </c>
    </row>
    <row r="25" spans="1:14" ht="12.75">
      <c r="A25" t="s">
        <v>548</v>
      </c>
      <c r="B25" s="3">
        <v>0</v>
      </c>
      <c r="C25" s="3">
        <v>0</v>
      </c>
      <c r="D25" s="3">
        <v>0</v>
      </c>
      <c r="E25" s="3">
        <v>0</v>
      </c>
      <c r="F25" s="3">
        <v>0</v>
      </c>
      <c r="G25" s="3">
        <v>0</v>
      </c>
      <c r="H25" s="3">
        <v>0</v>
      </c>
      <c r="I25" s="3">
        <v>1</v>
      </c>
      <c r="J25" s="3">
        <v>19</v>
      </c>
      <c r="K25" s="3">
        <v>20</v>
      </c>
      <c r="L25" s="3">
        <v>0</v>
      </c>
      <c r="M25" s="3">
        <v>0</v>
      </c>
      <c r="N25" s="6">
        <f t="shared" si="0"/>
        <v>40</v>
      </c>
    </row>
    <row r="26" spans="1:14" ht="12.75">
      <c r="A26" t="s">
        <v>549</v>
      </c>
      <c r="B26" s="3">
        <v>0</v>
      </c>
      <c r="C26" s="3">
        <v>0</v>
      </c>
      <c r="D26" s="3">
        <v>0</v>
      </c>
      <c r="E26" s="3">
        <v>0</v>
      </c>
      <c r="F26" s="3">
        <v>0</v>
      </c>
      <c r="G26" s="3">
        <v>0</v>
      </c>
      <c r="H26" s="3">
        <v>0</v>
      </c>
      <c r="I26" s="3">
        <v>0</v>
      </c>
      <c r="J26" s="3">
        <v>0</v>
      </c>
      <c r="K26" s="3">
        <v>2</v>
      </c>
      <c r="L26" s="3">
        <v>0</v>
      </c>
      <c r="M26" s="3">
        <v>0</v>
      </c>
      <c r="N26" s="6">
        <f t="shared" si="0"/>
        <v>2</v>
      </c>
    </row>
    <row r="27" spans="1:14" ht="12.75">
      <c r="A27" t="s">
        <v>550</v>
      </c>
      <c r="B27" s="3">
        <v>0</v>
      </c>
      <c r="C27" s="3">
        <v>0</v>
      </c>
      <c r="D27" s="3">
        <v>0</v>
      </c>
      <c r="E27" s="3">
        <v>0</v>
      </c>
      <c r="F27" s="3">
        <v>0</v>
      </c>
      <c r="G27" s="3">
        <v>0</v>
      </c>
      <c r="H27" s="3">
        <v>1</v>
      </c>
      <c r="I27" s="3">
        <v>0</v>
      </c>
      <c r="J27" s="3">
        <v>0</v>
      </c>
      <c r="K27" s="3">
        <v>0</v>
      </c>
      <c r="L27" s="3">
        <v>0</v>
      </c>
      <c r="M27" s="3">
        <v>0</v>
      </c>
      <c r="N27" s="6">
        <f t="shared" si="0"/>
        <v>1</v>
      </c>
    </row>
    <row r="28" spans="1:14" ht="12.75">
      <c r="A28" t="s">
        <v>551</v>
      </c>
      <c r="B28" s="3">
        <v>0</v>
      </c>
      <c r="C28" s="3">
        <v>0</v>
      </c>
      <c r="D28" s="3">
        <v>0</v>
      </c>
      <c r="E28" s="3">
        <v>0</v>
      </c>
      <c r="F28" s="3">
        <v>0</v>
      </c>
      <c r="G28" s="3">
        <v>0</v>
      </c>
      <c r="H28" s="3">
        <v>0</v>
      </c>
      <c r="I28" s="3">
        <v>1</v>
      </c>
      <c r="J28" s="3">
        <v>0</v>
      </c>
      <c r="K28" s="3">
        <v>0</v>
      </c>
      <c r="L28" s="3">
        <v>0</v>
      </c>
      <c r="M28" s="3">
        <v>0</v>
      </c>
      <c r="N28" s="6">
        <f t="shared" si="0"/>
        <v>1</v>
      </c>
    </row>
    <row r="29" spans="1:14" ht="12.75">
      <c r="A29" t="s">
        <v>552</v>
      </c>
      <c r="B29" s="3">
        <v>0</v>
      </c>
      <c r="C29" s="3">
        <v>0</v>
      </c>
      <c r="D29" s="3">
        <v>0</v>
      </c>
      <c r="E29" s="3">
        <v>0</v>
      </c>
      <c r="F29" s="3">
        <v>0</v>
      </c>
      <c r="G29" s="3">
        <v>0</v>
      </c>
      <c r="H29" s="3">
        <v>1</v>
      </c>
      <c r="I29" s="3">
        <v>2</v>
      </c>
      <c r="J29" s="3">
        <v>0</v>
      </c>
      <c r="K29" s="3">
        <v>0</v>
      </c>
      <c r="L29" s="3">
        <v>0</v>
      </c>
      <c r="M29" s="3">
        <v>0</v>
      </c>
      <c r="N29" s="6">
        <f t="shared" si="0"/>
        <v>3</v>
      </c>
    </row>
    <row r="30" spans="1:14" ht="12.75">
      <c r="A30" t="s">
        <v>553</v>
      </c>
      <c r="B30" s="3">
        <v>0</v>
      </c>
      <c r="C30" s="3">
        <v>0</v>
      </c>
      <c r="D30" s="3">
        <v>0</v>
      </c>
      <c r="E30" s="3">
        <v>0</v>
      </c>
      <c r="F30" s="3">
        <v>0</v>
      </c>
      <c r="G30" s="3">
        <v>0</v>
      </c>
      <c r="H30" s="3">
        <v>1</v>
      </c>
      <c r="I30" s="3">
        <v>0</v>
      </c>
      <c r="J30" s="3">
        <v>0</v>
      </c>
      <c r="K30" s="3">
        <v>0</v>
      </c>
      <c r="L30" s="3">
        <v>0</v>
      </c>
      <c r="M30" s="3">
        <v>0</v>
      </c>
      <c r="N30" s="6">
        <f t="shared" si="0"/>
        <v>1</v>
      </c>
    </row>
    <row r="31" spans="1:14" ht="12.75">
      <c r="A31" t="s">
        <v>554</v>
      </c>
      <c r="B31" s="3">
        <v>0</v>
      </c>
      <c r="C31" s="3">
        <v>0</v>
      </c>
      <c r="D31" s="3">
        <v>0</v>
      </c>
      <c r="E31" s="3">
        <v>0</v>
      </c>
      <c r="F31" s="3">
        <v>0</v>
      </c>
      <c r="G31" s="3">
        <v>0</v>
      </c>
      <c r="H31" s="3">
        <v>2</v>
      </c>
      <c r="I31" s="3">
        <v>0</v>
      </c>
      <c r="J31" s="3">
        <v>0</v>
      </c>
      <c r="K31" s="3">
        <v>0</v>
      </c>
      <c r="L31" s="3">
        <v>0</v>
      </c>
      <c r="M31" s="3">
        <v>0</v>
      </c>
      <c r="N31" s="6">
        <f t="shared" si="0"/>
        <v>2</v>
      </c>
    </row>
    <row r="32" spans="1:14" ht="12.75">
      <c r="A32" t="s">
        <v>555</v>
      </c>
      <c r="B32" s="3">
        <v>0</v>
      </c>
      <c r="C32" s="3">
        <v>0</v>
      </c>
      <c r="D32" s="3">
        <v>11</v>
      </c>
      <c r="E32" s="3">
        <v>27</v>
      </c>
      <c r="F32" s="3">
        <v>0</v>
      </c>
      <c r="G32" s="3">
        <v>0</v>
      </c>
      <c r="H32" s="3">
        <v>0</v>
      </c>
      <c r="I32" s="3">
        <v>0</v>
      </c>
      <c r="J32" s="3">
        <v>0</v>
      </c>
      <c r="K32" s="3">
        <v>0</v>
      </c>
      <c r="L32" s="3">
        <v>0</v>
      </c>
      <c r="M32" s="3">
        <v>0</v>
      </c>
      <c r="N32" s="6">
        <f t="shared" si="0"/>
        <v>38</v>
      </c>
    </row>
    <row r="33" spans="1:14" ht="12.75">
      <c r="A33" t="s">
        <v>556</v>
      </c>
      <c r="B33" s="3">
        <v>0</v>
      </c>
      <c r="C33" s="3">
        <v>0</v>
      </c>
      <c r="D33" s="3">
        <v>15</v>
      </c>
      <c r="E33" s="3">
        <v>58</v>
      </c>
      <c r="F33" s="3">
        <v>209</v>
      </c>
      <c r="G33" s="3">
        <v>767</v>
      </c>
      <c r="H33" s="3">
        <v>45</v>
      </c>
      <c r="I33" s="3">
        <v>85</v>
      </c>
      <c r="J33" s="3">
        <v>0</v>
      </c>
      <c r="K33" s="3">
        <v>0</v>
      </c>
      <c r="L33" s="3">
        <v>21</v>
      </c>
      <c r="M33" s="3">
        <v>25</v>
      </c>
      <c r="N33" s="6">
        <f t="shared" si="0"/>
        <v>1225</v>
      </c>
    </row>
    <row r="34" spans="1:14" ht="12.75">
      <c r="A34" t="s">
        <v>557</v>
      </c>
      <c r="B34" s="3">
        <v>0</v>
      </c>
      <c r="C34" s="3">
        <v>2</v>
      </c>
      <c r="D34" s="3">
        <v>0</v>
      </c>
      <c r="E34" s="3">
        <v>0</v>
      </c>
      <c r="F34" s="3">
        <v>0</v>
      </c>
      <c r="G34" s="3">
        <v>0</v>
      </c>
      <c r="H34" s="3">
        <v>0</v>
      </c>
      <c r="I34" s="3">
        <v>0</v>
      </c>
      <c r="J34" s="3">
        <v>0</v>
      </c>
      <c r="K34" s="3">
        <v>0</v>
      </c>
      <c r="L34" s="3">
        <v>0</v>
      </c>
      <c r="M34" s="3">
        <v>0</v>
      </c>
      <c r="N34" s="6">
        <f t="shared" si="0"/>
        <v>2</v>
      </c>
    </row>
    <row r="35" spans="1:14" ht="12.75">
      <c r="A35" t="s">
        <v>558</v>
      </c>
      <c r="B35" s="3">
        <v>0</v>
      </c>
      <c r="C35" s="3">
        <v>0</v>
      </c>
      <c r="D35" s="3">
        <v>0</v>
      </c>
      <c r="E35" s="3">
        <v>0</v>
      </c>
      <c r="F35" s="3">
        <v>2</v>
      </c>
      <c r="G35" s="3">
        <v>0</v>
      </c>
      <c r="H35" s="3">
        <v>2</v>
      </c>
      <c r="I35" s="3">
        <v>1</v>
      </c>
      <c r="J35" s="3">
        <v>0</v>
      </c>
      <c r="K35" s="3">
        <v>0</v>
      </c>
      <c r="L35" s="3">
        <v>2</v>
      </c>
      <c r="M35" s="3">
        <v>0</v>
      </c>
      <c r="N35" s="6">
        <f t="shared" si="0"/>
        <v>7</v>
      </c>
    </row>
    <row r="36" spans="1:14" ht="12.75">
      <c r="A36" t="s">
        <v>559</v>
      </c>
      <c r="B36" s="3">
        <v>0</v>
      </c>
      <c r="C36" s="3">
        <v>0</v>
      </c>
      <c r="D36" s="3">
        <v>30</v>
      </c>
      <c r="E36" s="3">
        <v>60</v>
      </c>
      <c r="F36" s="3">
        <v>12</v>
      </c>
      <c r="G36" s="3">
        <v>19</v>
      </c>
      <c r="H36" s="3">
        <v>9</v>
      </c>
      <c r="I36" s="3">
        <v>10</v>
      </c>
      <c r="J36" s="3">
        <v>0</v>
      </c>
      <c r="K36" s="3">
        <v>0</v>
      </c>
      <c r="L36" s="3">
        <v>3</v>
      </c>
      <c r="M36" s="3">
        <v>1</v>
      </c>
      <c r="N36" s="6">
        <f t="shared" si="0"/>
        <v>144</v>
      </c>
    </row>
    <row r="37" spans="1:14" ht="12.75">
      <c r="A37" t="s">
        <v>560</v>
      </c>
      <c r="B37" s="3">
        <v>0</v>
      </c>
      <c r="C37" s="3">
        <v>0</v>
      </c>
      <c r="D37" s="3">
        <v>0</v>
      </c>
      <c r="E37" s="3">
        <v>0</v>
      </c>
      <c r="F37" s="3">
        <v>0</v>
      </c>
      <c r="G37" s="3">
        <v>0</v>
      </c>
      <c r="H37" s="3">
        <v>5</v>
      </c>
      <c r="I37" s="3">
        <v>0</v>
      </c>
      <c r="J37" s="3">
        <v>0</v>
      </c>
      <c r="K37" s="3">
        <v>0</v>
      </c>
      <c r="L37" s="3">
        <v>0</v>
      </c>
      <c r="M37" s="3">
        <v>0</v>
      </c>
      <c r="N37" s="6">
        <f t="shared" si="0"/>
        <v>5</v>
      </c>
    </row>
    <row r="38" spans="1:14" ht="12.75">
      <c r="A38" t="s">
        <v>561</v>
      </c>
      <c r="B38" s="3">
        <v>0</v>
      </c>
      <c r="C38" s="3">
        <v>0</v>
      </c>
      <c r="D38" s="3">
        <v>0</v>
      </c>
      <c r="E38" s="3">
        <v>0</v>
      </c>
      <c r="F38" s="3">
        <v>13</v>
      </c>
      <c r="G38" s="3">
        <v>13</v>
      </c>
      <c r="H38" s="3">
        <v>9</v>
      </c>
      <c r="I38" s="3">
        <v>2</v>
      </c>
      <c r="J38" s="3">
        <v>0</v>
      </c>
      <c r="K38" s="3">
        <v>0</v>
      </c>
      <c r="L38" s="3">
        <v>0</v>
      </c>
      <c r="M38" s="3">
        <v>0</v>
      </c>
      <c r="N38" s="6">
        <f t="shared" si="0"/>
        <v>37</v>
      </c>
    </row>
    <row r="39" spans="1:14" ht="12.75">
      <c r="A39" t="s">
        <v>562</v>
      </c>
      <c r="B39" s="3">
        <v>0</v>
      </c>
      <c r="C39" s="3">
        <v>0</v>
      </c>
      <c r="D39" s="3">
        <v>0</v>
      </c>
      <c r="E39" s="3">
        <v>0</v>
      </c>
      <c r="F39" s="3">
        <v>0</v>
      </c>
      <c r="G39" s="3">
        <v>0</v>
      </c>
      <c r="H39" s="3">
        <v>0</v>
      </c>
      <c r="I39" s="3">
        <v>0</v>
      </c>
      <c r="J39" s="3">
        <v>0</v>
      </c>
      <c r="K39" s="3">
        <v>0</v>
      </c>
      <c r="L39" s="3">
        <v>2</v>
      </c>
      <c r="M39" s="3">
        <v>0</v>
      </c>
      <c r="N39" s="6">
        <f aca="true" t="shared" si="1" ref="N39:N70">SUM(B39:M39)</f>
        <v>2</v>
      </c>
    </row>
    <row r="40" spans="1:14" ht="12.75">
      <c r="A40" t="s">
        <v>563</v>
      </c>
      <c r="B40" s="3">
        <v>0</v>
      </c>
      <c r="C40" s="3">
        <v>0</v>
      </c>
      <c r="D40" s="3">
        <v>2</v>
      </c>
      <c r="E40" s="3">
        <v>53</v>
      </c>
      <c r="F40" s="3">
        <v>11</v>
      </c>
      <c r="G40" s="3">
        <v>16</v>
      </c>
      <c r="H40" s="3">
        <v>0</v>
      </c>
      <c r="I40" s="3">
        <v>0</v>
      </c>
      <c r="J40" s="3">
        <v>0</v>
      </c>
      <c r="K40" s="3">
        <v>0</v>
      </c>
      <c r="L40" s="3">
        <v>0</v>
      </c>
      <c r="M40" s="3">
        <v>2</v>
      </c>
      <c r="N40" s="6">
        <f t="shared" si="1"/>
        <v>84</v>
      </c>
    </row>
    <row r="41" spans="1:14" ht="12.75">
      <c r="A41" t="s">
        <v>564</v>
      </c>
      <c r="B41" s="3">
        <v>0</v>
      </c>
      <c r="C41" s="3">
        <v>0</v>
      </c>
      <c r="D41" s="3">
        <v>0</v>
      </c>
      <c r="E41" s="3">
        <v>0</v>
      </c>
      <c r="F41" s="3">
        <v>0</v>
      </c>
      <c r="G41" s="3">
        <v>0</v>
      </c>
      <c r="H41" s="3">
        <v>0</v>
      </c>
      <c r="I41" s="3">
        <v>1</v>
      </c>
      <c r="J41" s="3">
        <v>0</v>
      </c>
      <c r="K41" s="3">
        <v>0</v>
      </c>
      <c r="L41" s="3">
        <v>0</v>
      </c>
      <c r="M41" s="3">
        <v>0</v>
      </c>
      <c r="N41" s="6">
        <f t="shared" si="1"/>
        <v>1</v>
      </c>
    </row>
    <row r="42" spans="1:14" ht="12.75">
      <c r="A42" t="s">
        <v>565</v>
      </c>
      <c r="B42" s="3">
        <v>0</v>
      </c>
      <c r="C42" s="3">
        <v>0</v>
      </c>
      <c r="D42" s="3">
        <v>0</v>
      </c>
      <c r="E42" s="3">
        <v>0</v>
      </c>
      <c r="F42" s="3">
        <v>0</v>
      </c>
      <c r="G42" s="3">
        <v>0</v>
      </c>
      <c r="H42" s="3">
        <v>2</v>
      </c>
      <c r="I42" s="3">
        <v>0</v>
      </c>
      <c r="J42" s="3">
        <v>0</v>
      </c>
      <c r="K42" s="3">
        <v>0</v>
      </c>
      <c r="L42" s="3">
        <v>0</v>
      </c>
      <c r="M42" s="3">
        <v>0</v>
      </c>
      <c r="N42" s="6">
        <f t="shared" si="1"/>
        <v>2</v>
      </c>
    </row>
    <row r="43" spans="1:14" ht="12.75">
      <c r="A43" t="s">
        <v>566</v>
      </c>
      <c r="B43" s="3">
        <v>0</v>
      </c>
      <c r="C43" s="3">
        <v>0</v>
      </c>
      <c r="D43" s="3">
        <v>0</v>
      </c>
      <c r="E43" s="3">
        <v>0</v>
      </c>
      <c r="F43" s="3">
        <v>0</v>
      </c>
      <c r="G43" s="3">
        <v>0</v>
      </c>
      <c r="H43" s="3">
        <v>1</v>
      </c>
      <c r="I43" s="3">
        <v>1</v>
      </c>
      <c r="J43" s="3">
        <v>0</v>
      </c>
      <c r="K43" s="3">
        <v>0</v>
      </c>
      <c r="L43" s="3">
        <v>0</v>
      </c>
      <c r="M43" s="3">
        <v>0</v>
      </c>
      <c r="N43" s="6">
        <f t="shared" si="1"/>
        <v>2</v>
      </c>
    </row>
    <row r="44" spans="1:14" ht="12.75">
      <c r="A44" t="s">
        <v>567</v>
      </c>
      <c r="B44" s="3">
        <v>0</v>
      </c>
      <c r="C44" s="3">
        <v>0</v>
      </c>
      <c r="D44" s="3">
        <v>0</v>
      </c>
      <c r="E44" s="3">
        <v>0</v>
      </c>
      <c r="F44" s="3">
        <v>0</v>
      </c>
      <c r="G44" s="3">
        <v>0</v>
      </c>
      <c r="H44" s="3">
        <v>1</v>
      </c>
      <c r="I44" s="3">
        <v>0</v>
      </c>
      <c r="J44" s="3">
        <v>0</v>
      </c>
      <c r="K44" s="3">
        <v>0</v>
      </c>
      <c r="L44" s="3">
        <v>0</v>
      </c>
      <c r="M44" s="3">
        <v>0</v>
      </c>
      <c r="N44" s="6">
        <f t="shared" si="1"/>
        <v>1</v>
      </c>
    </row>
    <row r="45" spans="1:14" ht="12.75">
      <c r="A45" t="s">
        <v>568</v>
      </c>
      <c r="B45" s="3">
        <v>0</v>
      </c>
      <c r="C45" s="3">
        <v>0</v>
      </c>
      <c r="D45" s="3">
        <v>0</v>
      </c>
      <c r="E45" s="3">
        <v>0</v>
      </c>
      <c r="F45" s="3">
        <v>0</v>
      </c>
      <c r="G45" s="3">
        <v>0</v>
      </c>
      <c r="H45" s="3">
        <v>0</v>
      </c>
      <c r="I45" s="3">
        <v>1</v>
      </c>
      <c r="J45" s="3">
        <v>0</v>
      </c>
      <c r="K45" s="3">
        <v>0</v>
      </c>
      <c r="L45" s="3">
        <v>0</v>
      </c>
      <c r="M45" s="3">
        <v>0</v>
      </c>
      <c r="N45" s="6">
        <f t="shared" si="1"/>
        <v>1</v>
      </c>
    </row>
    <row r="46" spans="1:14" ht="12.75">
      <c r="A46" t="s">
        <v>569</v>
      </c>
      <c r="B46" s="3">
        <v>0</v>
      </c>
      <c r="C46" s="3">
        <v>0</v>
      </c>
      <c r="D46" s="3">
        <v>0</v>
      </c>
      <c r="E46" s="3">
        <v>0</v>
      </c>
      <c r="F46" s="3">
        <v>0</v>
      </c>
      <c r="G46" s="3">
        <v>0</v>
      </c>
      <c r="H46" s="3">
        <v>0</v>
      </c>
      <c r="I46" s="3">
        <v>1</v>
      </c>
      <c r="J46" s="3">
        <v>0</v>
      </c>
      <c r="K46" s="3">
        <v>0</v>
      </c>
      <c r="L46" s="3">
        <v>0</v>
      </c>
      <c r="M46" s="3">
        <v>0</v>
      </c>
      <c r="N46" s="6">
        <f t="shared" si="1"/>
        <v>1</v>
      </c>
    </row>
    <row r="47" spans="1:14" ht="12.75">
      <c r="A47" t="s">
        <v>570</v>
      </c>
      <c r="B47" s="3">
        <v>0</v>
      </c>
      <c r="C47" s="3">
        <v>0</v>
      </c>
      <c r="D47" s="3">
        <v>0</v>
      </c>
      <c r="E47" s="3">
        <v>0</v>
      </c>
      <c r="F47" s="3">
        <v>0</v>
      </c>
      <c r="G47" s="3">
        <v>4</v>
      </c>
      <c r="H47" s="3">
        <v>0</v>
      </c>
      <c r="I47" s="3">
        <v>0</v>
      </c>
      <c r="J47" s="3">
        <v>0</v>
      </c>
      <c r="K47" s="3">
        <v>0</v>
      </c>
      <c r="L47" s="3">
        <v>0</v>
      </c>
      <c r="M47" s="3">
        <v>0</v>
      </c>
      <c r="N47" s="6">
        <f t="shared" si="1"/>
        <v>4</v>
      </c>
    </row>
    <row r="48" spans="1:14" ht="12.75">
      <c r="A48" t="s">
        <v>571</v>
      </c>
      <c r="B48" s="3">
        <v>0</v>
      </c>
      <c r="C48" s="3">
        <v>0</v>
      </c>
      <c r="D48" s="3">
        <v>0</v>
      </c>
      <c r="E48" s="3">
        <v>15</v>
      </c>
      <c r="F48" s="3">
        <v>2</v>
      </c>
      <c r="G48" s="3">
        <v>4</v>
      </c>
      <c r="H48" s="3">
        <v>0</v>
      </c>
      <c r="I48" s="3">
        <v>0</v>
      </c>
      <c r="J48" s="3">
        <v>0</v>
      </c>
      <c r="K48" s="3">
        <v>0</v>
      </c>
      <c r="L48" s="3">
        <v>0</v>
      </c>
      <c r="M48" s="3">
        <v>0</v>
      </c>
      <c r="N48" s="6">
        <f t="shared" si="1"/>
        <v>21</v>
      </c>
    </row>
    <row r="49" spans="1:14" ht="12.75">
      <c r="A49" t="s">
        <v>572</v>
      </c>
      <c r="B49" s="3">
        <v>0</v>
      </c>
      <c r="C49" s="3">
        <v>0</v>
      </c>
      <c r="D49" s="3">
        <v>1</v>
      </c>
      <c r="E49" s="3">
        <v>0</v>
      </c>
      <c r="F49" s="3">
        <v>2</v>
      </c>
      <c r="G49" s="3">
        <v>0</v>
      </c>
      <c r="H49" s="3">
        <v>0</v>
      </c>
      <c r="I49" s="3">
        <v>0</v>
      </c>
      <c r="J49" s="3">
        <v>0</v>
      </c>
      <c r="K49" s="3">
        <v>0</v>
      </c>
      <c r="L49" s="3">
        <v>0</v>
      </c>
      <c r="M49" s="3">
        <v>0</v>
      </c>
      <c r="N49" s="6">
        <f t="shared" si="1"/>
        <v>3</v>
      </c>
    </row>
    <row r="50" spans="1:14" ht="12.75">
      <c r="A50" t="s">
        <v>573</v>
      </c>
      <c r="B50" s="3">
        <v>0</v>
      </c>
      <c r="C50" s="3">
        <v>0</v>
      </c>
      <c r="D50" s="3">
        <v>2</v>
      </c>
      <c r="E50" s="3">
        <v>2</v>
      </c>
      <c r="F50" s="3">
        <v>6</v>
      </c>
      <c r="G50" s="3">
        <v>1</v>
      </c>
      <c r="H50" s="3">
        <v>0</v>
      </c>
      <c r="I50" s="3">
        <v>0</v>
      </c>
      <c r="J50" s="3">
        <v>0</v>
      </c>
      <c r="K50" s="3">
        <v>0</v>
      </c>
      <c r="L50" s="3">
        <v>0</v>
      </c>
      <c r="M50" s="3">
        <v>0</v>
      </c>
      <c r="N50" s="6">
        <f t="shared" si="1"/>
        <v>11</v>
      </c>
    </row>
    <row r="51" spans="1:14" ht="12.75">
      <c r="A51" t="s">
        <v>574</v>
      </c>
      <c r="B51" s="3">
        <v>0</v>
      </c>
      <c r="C51" s="3">
        <v>0</v>
      </c>
      <c r="D51" s="3">
        <v>3</v>
      </c>
      <c r="E51" s="3">
        <v>0</v>
      </c>
      <c r="F51" s="3">
        <v>8</v>
      </c>
      <c r="G51" s="3">
        <v>5</v>
      </c>
      <c r="H51" s="3">
        <v>1</v>
      </c>
      <c r="I51" s="3">
        <v>0</v>
      </c>
      <c r="J51" s="3">
        <v>0</v>
      </c>
      <c r="K51" s="3">
        <v>0</v>
      </c>
      <c r="L51" s="3">
        <v>0</v>
      </c>
      <c r="M51" s="3">
        <v>0</v>
      </c>
      <c r="N51" s="6">
        <f t="shared" si="1"/>
        <v>17</v>
      </c>
    </row>
    <row r="52" spans="1:14" ht="12.75">
      <c r="A52" t="s">
        <v>575</v>
      </c>
      <c r="B52" s="3">
        <v>0</v>
      </c>
      <c r="C52" s="3">
        <v>0</v>
      </c>
      <c r="D52" s="3">
        <v>3</v>
      </c>
      <c r="E52" s="3">
        <v>2</v>
      </c>
      <c r="F52" s="3">
        <v>0</v>
      </c>
      <c r="G52" s="3">
        <v>0</v>
      </c>
      <c r="H52" s="3">
        <v>0</v>
      </c>
      <c r="I52" s="3">
        <v>0</v>
      </c>
      <c r="J52" s="3">
        <v>0</v>
      </c>
      <c r="K52" s="3">
        <v>0</v>
      </c>
      <c r="L52" s="3">
        <v>0</v>
      </c>
      <c r="M52" s="3">
        <v>0</v>
      </c>
      <c r="N52" s="6">
        <f t="shared" si="1"/>
        <v>5</v>
      </c>
    </row>
    <row r="53" spans="1:14" ht="12.75">
      <c r="A53" t="s">
        <v>576</v>
      </c>
      <c r="B53" s="3">
        <v>0</v>
      </c>
      <c r="C53" s="3">
        <v>0</v>
      </c>
      <c r="D53" s="3">
        <v>4</v>
      </c>
      <c r="E53" s="3">
        <v>0</v>
      </c>
      <c r="F53" s="3">
        <v>0</v>
      </c>
      <c r="G53" s="3">
        <v>0</v>
      </c>
      <c r="H53" s="3">
        <v>0</v>
      </c>
      <c r="I53" s="3">
        <v>0</v>
      </c>
      <c r="J53" s="3">
        <v>0</v>
      </c>
      <c r="K53" s="3">
        <v>0</v>
      </c>
      <c r="L53" s="3">
        <v>0</v>
      </c>
      <c r="M53" s="3">
        <v>0</v>
      </c>
      <c r="N53" s="6">
        <f t="shared" si="1"/>
        <v>4</v>
      </c>
    </row>
    <row r="54" spans="1:14" ht="12.75">
      <c r="A54" t="s">
        <v>577</v>
      </c>
      <c r="B54" s="3">
        <v>0</v>
      </c>
      <c r="C54" s="3">
        <v>0</v>
      </c>
      <c r="D54" s="3">
        <v>5</v>
      </c>
      <c r="E54" s="3">
        <v>2</v>
      </c>
      <c r="F54" s="3">
        <v>0</v>
      </c>
      <c r="G54" s="3">
        <v>0</v>
      </c>
      <c r="H54" s="3">
        <v>0</v>
      </c>
      <c r="I54" s="3">
        <v>0</v>
      </c>
      <c r="J54" s="3">
        <v>0</v>
      </c>
      <c r="K54" s="3">
        <v>0</v>
      </c>
      <c r="L54" s="3">
        <v>0</v>
      </c>
      <c r="M54" s="3">
        <v>0</v>
      </c>
      <c r="N54" s="6">
        <f t="shared" si="1"/>
        <v>7</v>
      </c>
    </row>
    <row r="55" spans="1:14" ht="12.75">
      <c r="A55" t="s">
        <v>578</v>
      </c>
      <c r="B55" s="3">
        <v>0</v>
      </c>
      <c r="C55" s="3">
        <v>31</v>
      </c>
      <c r="D55" s="3">
        <v>30</v>
      </c>
      <c r="E55" s="3">
        <v>50</v>
      </c>
      <c r="F55" s="3">
        <v>0</v>
      </c>
      <c r="G55" s="3">
        <v>0</v>
      </c>
      <c r="H55" s="3">
        <v>0</v>
      </c>
      <c r="I55" s="3">
        <v>0</v>
      </c>
      <c r="J55" s="3">
        <v>0</v>
      </c>
      <c r="K55" s="3">
        <v>0</v>
      </c>
      <c r="L55" s="3">
        <v>0</v>
      </c>
      <c r="M55" s="3">
        <v>0</v>
      </c>
      <c r="N55" s="6">
        <f t="shared" si="1"/>
        <v>111</v>
      </c>
    </row>
    <row r="56" spans="1:14" ht="12.75">
      <c r="A56" t="s">
        <v>579</v>
      </c>
      <c r="B56" s="3">
        <v>0</v>
      </c>
      <c r="C56" s="3">
        <v>0</v>
      </c>
      <c r="D56" s="3">
        <v>35</v>
      </c>
      <c r="E56" s="3">
        <v>29</v>
      </c>
      <c r="F56" s="3">
        <v>0</v>
      </c>
      <c r="G56" s="3">
        <v>0</v>
      </c>
      <c r="H56" s="3">
        <v>0</v>
      </c>
      <c r="I56" s="3">
        <v>0</v>
      </c>
      <c r="J56" s="3">
        <v>0</v>
      </c>
      <c r="K56" s="3">
        <v>0</v>
      </c>
      <c r="L56" s="3">
        <v>0</v>
      </c>
      <c r="M56" s="3">
        <v>0</v>
      </c>
      <c r="N56" s="6">
        <f t="shared" si="1"/>
        <v>64</v>
      </c>
    </row>
    <row r="57" spans="1:14" ht="12.75">
      <c r="A57" t="s">
        <v>580</v>
      </c>
      <c r="B57" s="3">
        <v>0</v>
      </c>
      <c r="C57" s="3">
        <v>0</v>
      </c>
      <c r="D57" s="3">
        <v>1</v>
      </c>
      <c r="E57" s="3">
        <v>0</v>
      </c>
      <c r="F57" s="3">
        <v>0</v>
      </c>
      <c r="G57" s="3">
        <v>0</v>
      </c>
      <c r="H57" s="3">
        <v>0</v>
      </c>
      <c r="I57" s="3">
        <v>0</v>
      </c>
      <c r="J57" s="3">
        <v>0</v>
      </c>
      <c r="K57" s="3">
        <v>0</v>
      </c>
      <c r="L57" s="3">
        <v>0</v>
      </c>
      <c r="M57" s="3">
        <v>0</v>
      </c>
      <c r="N57" s="6">
        <f t="shared" si="1"/>
        <v>1</v>
      </c>
    </row>
    <row r="58" spans="1:14" ht="12.75">
      <c r="A58" t="s">
        <v>581</v>
      </c>
      <c r="B58" s="3">
        <v>0</v>
      </c>
      <c r="C58" s="3">
        <v>0</v>
      </c>
      <c r="D58" s="3">
        <v>23</v>
      </c>
      <c r="E58" s="3">
        <v>67</v>
      </c>
      <c r="F58" s="3">
        <v>0</v>
      </c>
      <c r="G58" s="3">
        <v>0</v>
      </c>
      <c r="H58" s="3">
        <v>0</v>
      </c>
      <c r="I58" s="3">
        <v>0</v>
      </c>
      <c r="J58" s="3">
        <v>0</v>
      </c>
      <c r="K58" s="3">
        <v>0</v>
      </c>
      <c r="L58" s="3">
        <v>0</v>
      </c>
      <c r="M58" s="3">
        <v>0</v>
      </c>
      <c r="N58" s="6">
        <f t="shared" si="1"/>
        <v>90</v>
      </c>
    </row>
    <row r="59" spans="1:14" ht="12.75">
      <c r="A59" t="s">
        <v>582</v>
      </c>
      <c r="B59" s="3">
        <v>0</v>
      </c>
      <c r="C59" s="3">
        <v>0</v>
      </c>
      <c r="D59" s="3">
        <v>0</v>
      </c>
      <c r="E59" s="3">
        <v>0</v>
      </c>
      <c r="F59" s="3">
        <v>0</v>
      </c>
      <c r="G59" s="3">
        <v>0</v>
      </c>
      <c r="H59" s="3">
        <v>1</v>
      </c>
      <c r="I59" s="3">
        <v>0</v>
      </c>
      <c r="J59" s="3">
        <v>0</v>
      </c>
      <c r="K59" s="3">
        <v>0</v>
      </c>
      <c r="L59" s="3">
        <v>0</v>
      </c>
      <c r="M59" s="3">
        <v>0</v>
      </c>
      <c r="N59" s="6">
        <f t="shared" si="1"/>
        <v>1</v>
      </c>
    </row>
    <row r="60" spans="1:14" ht="12.75">
      <c r="A60" t="s">
        <v>583</v>
      </c>
      <c r="B60" s="3">
        <v>0</v>
      </c>
      <c r="C60" s="3">
        <v>0</v>
      </c>
      <c r="D60" s="3">
        <v>0</v>
      </c>
      <c r="E60" s="3">
        <v>0</v>
      </c>
      <c r="F60" s="3">
        <v>0</v>
      </c>
      <c r="G60" s="3">
        <v>0</v>
      </c>
      <c r="H60" s="3">
        <v>1</v>
      </c>
      <c r="I60" s="3">
        <v>8</v>
      </c>
      <c r="J60" s="3">
        <v>0</v>
      </c>
      <c r="K60" s="3">
        <v>0</v>
      </c>
      <c r="L60" s="3">
        <v>0</v>
      </c>
      <c r="M60" s="3">
        <v>0</v>
      </c>
      <c r="N60" s="6">
        <f t="shared" si="1"/>
        <v>9</v>
      </c>
    </row>
    <row r="61" spans="1:14" ht="12.75">
      <c r="A61" t="s">
        <v>584</v>
      </c>
      <c r="B61" s="3">
        <v>0</v>
      </c>
      <c r="C61" s="3">
        <v>0</v>
      </c>
      <c r="D61" s="3">
        <v>0</v>
      </c>
      <c r="E61" s="3">
        <v>0</v>
      </c>
      <c r="F61" s="3">
        <v>0</v>
      </c>
      <c r="G61" s="3">
        <v>0</v>
      </c>
      <c r="H61" s="3">
        <v>1</v>
      </c>
      <c r="I61" s="3">
        <v>1</v>
      </c>
      <c r="J61" s="3">
        <v>0</v>
      </c>
      <c r="K61" s="3">
        <v>0</v>
      </c>
      <c r="L61" s="3">
        <v>0</v>
      </c>
      <c r="M61" s="3">
        <v>0</v>
      </c>
      <c r="N61" s="6">
        <f t="shared" si="1"/>
        <v>2</v>
      </c>
    </row>
    <row r="62" spans="1:14" ht="12.75">
      <c r="A62" t="s">
        <v>585</v>
      </c>
      <c r="B62" s="3">
        <v>0</v>
      </c>
      <c r="C62" s="3">
        <v>0</v>
      </c>
      <c r="D62" s="3">
        <v>5</v>
      </c>
      <c r="E62" s="3">
        <v>13</v>
      </c>
      <c r="F62" s="3">
        <v>19</v>
      </c>
      <c r="G62" s="3">
        <v>28</v>
      </c>
      <c r="H62" s="3">
        <v>1</v>
      </c>
      <c r="I62" s="3">
        <v>1</v>
      </c>
      <c r="J62" s="3">
        <v>0</v>
      </c>
      <c r="K62" s="3">
        <v>0</v>
      </c>
      <c r="L62" s="3">
        <v>0</v>
      </c>
      <c r="M62" s="3">
        <v>0</v>
      </c>
      <c r="N62" s="6">
        <f t="shared" si="1"/>
        <v>67</v>
      </c>
    </row>
    <row r="63" spans="1:14" ht="12.75">
      <c r="A63" t="s">
        <v>586</v>
      </c>
      <c r="B63" s="3">
        <v>0</v>
      </c>
      <c r="C63" s="3">
        <v>0</v>
      </c>
      <c r="D63" s="3">
        <v>43</v>
      </c>
      <c r="E63" s="3">
        <v>47</v>
      </c>
      <c r="F63" s="3">
        <v>9</v>
      </c>
      <c r="G63" s="3">
        <v>26</v>
      </c>
      <c r="H63" s="3">
        <v>0</v>
      </c>
      <c r="I63" s="3">
        <v>1</v>
      </c>
      <c r="J63" s="3">
        <v>0</v>
      </c>
      <c r="K63" s="3">
        <v>0</v>
      </c>
      <c r="L63" s="3">
        <v>0</v>
      </c>
      <c r="M63" s="3">
        <v>0</v>
      </c>
      <c r="N63" s="6">
        <f t="shared" si="1"/>
        <v>126</v>
      </c>
    </row>
    <row r="64" spans="1:14" ht="12.75">
      <c r="A64" t="s">
        <v>587</v>
      </c>
      <c r="B64" s="3">
        <v>0</v>
      </c>
      <c r="C64" s="3">
        <v>0</v>
      </c>
      <c r="D64" s="3">
        <v>0</v>
      </c>
      <c r="E64" s="3">
        <v>1</v>
      </c>
      <c r="F64" s="3">
        <v>0</v>
      </c>
      <c r="G64" s="3">
        <v>1</v>
      </c>
      <c r="H64" s="3">
        <v>0</v>
      </c>
      <c r="I64" s="3">
        <v>0</v>
      </c>
      <c r="J64" s="3">
        <v>0</v>
      </c>
      <c r="K64" s="3">
        <v>0</v>
      </c>
      <c r="L64" s="3">
        <v>0</v>
      </c>
      <c r="M64" s="3">
        <v>0</v>
      </c>
      <c r="N64" s="6">
        <f t="shared" si="1"/>
        <v>2</v>
      </c>
    </row>
    <row r="65" spans="1:14" ht="12.75">
      <c r="A65" t="s">
        <v>588</v>
      </c>
      <c r="B65" s="3">
        <v>0</v>
      </c>
      <c r="C65" s="3">
        <v>0</v>
      </c>
      <c r="D65" s="3">
        <v>12</v>
      </c>
      <c r="E65" s="3">
        <v>16</v>
      </c>
      <c r="F65" s="3">
        <v>0</v>
      </c>
      <c r="G65" s="3">
        <v>0</v>
      </c>
      <c r="H65" s="3">
        <v>0</v>
      </c>
      <c r="I65" s="3">
        <v>0</v>
      </c>
      <c r="J65" s="3">
        <v>0</v>
      </c>
      <c r="K65" s="3">
        <v>0</v>
      </c>
      <c r="L65" s="3">
        <v>0</v>
      </c>
      <c r="M65" s="3">
        <v>0</v>
      </c>
      <c r="N65" s="6">
        <f t="shared" si="1"/>
        <v>28</v>
      </c>
    </row>
    <row r="66" spans="1:14" ht="12.75">
      <c r="A66" t="s">
        <v>589</v>
      </c>
      <c r="B66" s="3">
        <v>0</v>
      </c>
      <c r="C66" s="3">
        <v>0</v>
      </c>
      <c r="D66" s="3">
        <v>1</v>
      </c>
      <c r="E66" s="3">
        <v>4</v>
      </c>
      <c r="F66" s="3">
        <v>0</v>
      </c>
      <c r="G66" s="3">
        <v>0</v>
      </c>
      <c r="H66" s="3">
        <v>0</v>
      </c>
      <c r="I66" s="3">
        <v>0</v>
      </c>
      <c r="J66" s="3">
        <v>0</v>
      </c>
      <c r="K66" s="3">
        <v>0</v>
      </c>
      <c r="L66" s="3">
        <v>0</v>
      </c>
      <c r="M66" s="3">
        <v>0</v>
      </c>
      <c r="N66" s="6">
        <f t="shared" si="1"/>
        <v>5</v>
      </c>
    </row>
    <row r="67" spans="1:14" ht="12.75">
      <c r="A67" s="2" t="s">
        <v>527</v>
      </c>
      <c r="B67" s="6">
        <f aca="true" t="shared" si="2" ref="B67:N67">SUM(B7:B66)</f>
        <v>0</v>
      </c>
      <c r="C67" s="6">
        <f t="shared" si="2"/>
        <v>33</v>
      </c>
      <c r="D67" s="6">
        <f t="shared" si="2"/>
        <v>226</v>
      </c>
      <c r="E67" s="6">
        <f t="shared" si="2"/>
        <v>446</v>
      </c>
      <c r="F67" s="6">
        <f t="shared" si="2"/>
        <v>293</v>
      </c>
      <c r="G67" s="6">
        <f t="shared" si="2"/>
        <v>884</v>
      </c>
      <c r="H67" s="6">
        <f t="shared" si="2"/>
        <v>86</v>
      </c>
      <c r="I67" s="6">
        <f t="shared" si="2"/>
        <v>124</v>
      </c>
      <c r="J67" s="6">
        <f t="shared" si="2"/>
        <v>302</v>
      </c>
      <c r="K67" s="6">
        <f t="shared" si="2"/>
        <v>273</v>
      </c>
      <c r="L67" s="6">
        <f t="shared" si="2"/>
        <v>28</v>
      </c>
      <c r="M67" s="6">
        <f t="shared" si="2"/>
        <v>28</v>
      </c>
      <c r="N67" s="6">
        <f t="shared" si="2"/>
        <v>2723</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V70"/>
  <sheetViews>
    <sheetView zoomScalePageLayoutView="0" workbookViewId="0" topLeftCell="A1">
      <selection activeCell="A1" sqref="A1"/>
    </sheetView>
  </sheetViews>
  <sheetFormatPr defaultColWidth="9.140625" defaultRowHeight="12.75"/>
  <sheetData>
    <row r="1" ht="18">
      <c r="A1" s="1" t="s">
        <v>789</v>
      </c>
    </row>
    <row r="5" spans="2:22" ht="12.75">
      <c r="B5" s="2" t="s">
        <v>176</v>
      </c>
      <c r="D5" s="2" t="s">
        <v>790</v>
      </c>
      <c r="F5" s="2" t="s">
        <v>791</v>
      </c>
      <c r="H5" s="2" t="s">
        <v>792</v>
      </c>
      <c r="J5" s="2" t="s">
        <v>793</v>
      </c>
      <c r="L5" s="2" t="s">
        <v>794</v>
      </c>
      <c r="N5" s="2" t="s">
        <v>795</v>
      </c>
      <c r="P5" s="2" t="s">
        <v>796</v>
      </c>
      <c r="R5" s="2" t="s">
        <v>797</v>
      </c>
      <c r="T5" s="2" t="s">
        <v>798</v>
      </c>
      <c r="V5" s="2" t="s">
        <v>527</v>
      </c>
    </row>
    <row r="6" spans="1:21" ht="12.75">
      <c r="A6" s="2" t="s">
        <v>522</v>
      </c>
      <c r="B6" t="s">
        <v>528</v>
      </c>
      <c r="C6" t="s">
        <v>529</v>
      </c>
      <c r="D6" t="s">
        <v>528</v>
      </c>
      <c r="E6" t="s">
        <v>529</v>
      </c>
      <c r="F6" t="s">
        <v>528</v>
      </c>
      <c r="G6" t="s">
        <v>529</v>
      </c>
      <c r="H6" t="s">
        <v>528</v>
      </c>
      <c r="I6" t="s">
        <v>529</v>
      </c>
      <c r="J6" t="s">
        <v>528</v>
      </c>
      <c r="K6" t="s">
        <v>529</v>
      </c>
      <c r="L6" t="s">
        <v>528</v>
      </c>
      <c r="M6" t="s">
        <v>529</v>
      </c>
      <c r="N6" t="s">
        <v>528</v>
      </c>
      <c r="O6" t="s">
        <v>529</v>
      </c>
      <c r="P6" t="s">
        <v>528</v>
      </c>
      <c r="Q6" t="s">
        <v>529</v>
      </c>
      <c r="R6" t="s">
        <v>528</v>
      </c>
      <c r="S6" t="s">
        <v>529</v>
      </c>
      <c r="T6" t="s">
        <v>528</v>
      </c>
      <c r="U6" t="s">
        <v>529</v>
      </c>
    </row>
    <row r="7" spans="1:22" ht="12.75">
      <c r="A7" t="s">
        <v>530</v>
      </c>
      <c r="B7" s="3">
        <v>0</v>
      </c>
      <c r="C7" s="3">
        <v>10</v>
      </c>
      <c r="D7" s="3">
        <v>0</v>
      </c>
      <c r="E7" s="3">
        <v>0</v>
      </c>
      <c r="F7" s="3">
        <v>0</v>
      </c>
      <c r="G7" s="3">
        <v>0</v>
      </c>
      <c r="H7" s="3">
        <v>0</v>
      </c>
      <c r="I7" s="3">
        <v>0</v>
      </c>
      <c r="J7" s="3">
        <v>0</v>
      </c>
      <c r="K7" s="3">
        <v>0</v>
      </c>
      <c r="L7" s="3">
        <v>0</v>
      </c>
      <c r="M7" s="3">
        <v>0</v>
      </c>
      <c r="N7" s="3">
        <v>0</v>
      </c>
      <c r="O7" s="3">
        <v>0</v>
      </c>
      <c r="P7" s="3">
        <v>0</v>
      </c>
      <c r="Q7" s="3">
        <v>0</v>
      </c>
      <c r="R7" s="3">
        <v>0</v>
      </c>
      <c r="S7" s="3">
        <v>0</v>
      </c>
      <c r="T7" s="3">
        <v>0</v>
      </c>
      <c r="U7" s="3">
        <v>0</v>
      </c>
      <c r="V7" s="6">
        <f aca="true" t="shared" si="0" ref="V7:V38">SUM(B7:U7)</f>
        <v>10</v>
      </c>
    </row>
    <row r="8" spans="1:22" ht="12.75">
      <c r="A8" t="s">
        <v>531</v>
      </c>
      <c r="B8" s="3">
        <v>0</v>
      </c>
      <c r="C8" s="3">
        <v>10</v>
      </c>
      <c r="D8" s="3">
        <v>0</v>
      </c>
      <c r="E8" s="3">
        <v>0</v>
      </c>
      <c r="F8" s="3">
        <v>0</v>
      </c>
      <c r="G8" s="3">
        <v>0</v>
      </c>
      <c r="H8" s="3">
        <v>0</v>
      </c>
      <c r="I8" s="3">
        <v>0</v>
      </c>
      <c r="J8" s="3">
        <v>0</v>
      </c>
      <c r="K8" s="3">
        <v>0</v>
      </c>
      <c r="L8" s="3">
        <v>0</v>
      </c>
      <c r="M8" s="3">
        <v>0</v>
      </c>
      <c r="N8" s="3">
        <v>0</v>
      </c>
      <c r="O8" s="3">
        <v>0</v>
      </c>
      <c r="P8" s="3">
        <v>0</v>
      </c>
      <c r="Q8" s="3">
        <v>0</v>
      </c>
      <c r="R8" s="3">
        <v>0</v>
      </c>
      <c r="S8" s="3">
        <v>0</v>
      </c>
      <c r="T8" s="3">
        <v>0</v>
      </c>
      <c r="U8" s="3">
        <v>0</v>
      </c>
      <c r="V8" s="6">
        <f t="shared" si="0"/>
        <v>10</v>
      </c>
    </row>
    <row r="9" spans="1:22" ht="12.75">
      <c r="A9" t="s">
        <v>532</v>
      </c>
      <c r="B9" s="3">
        <v>0</v>
      </c>
      <c r="C9" s="3">
        <v>10</v>
      </c>
      <c r="D9" s="3">
        <v>0</v>
      </c>
      <c r="E9" s="3">
        <v>0</v>
      </c>
      <c r="F9" s="3">
        <v>0</v>
      </c>
      <c r="G9" s="3">
        <v>0</v>
      </c>
      <c r="H9" s="3">
        <v>0</v>
      </c>
      <c r="I9" s="3">
        <v>0</v>
      </c>
      <c r="J9" s="3">
        <v>0</v>
      </c>
      <c r="K9" s="3">
        <v>0</v>
      </c>
      <c r="L9" s="3">
        <v>0</v>
      </c>
      <c r="M9" s="3">
        <v>0</v>
      </c>
      <c r="N9" s="3">
        <v>0</v>
      </c>
      <c r="O9" s="3">
        <v>0</v>
      </c>
      <c r="P9" s="3">
        <v>0</v>
      </c>
      <c r="Q9" s="3">
        <v>0</v>
      </c>
      <c r="R9" s="3">
        <v>0</v>
      </c>
      <c r="S9" s="3">
        <v>0</v>
      </c>
      <c r="T9" s="3">
        <v>0</v>
      </c>
      <c r="U9" s="3">
        <v>0</v>
      </c>
      <c r="V9" s="6">
        <f t="shared" si="0"/>
        <v>10</v>
      </c>
    </row>
    <row r="10" spans="1:22" ht="12.75">
      <c r="A10" t="s">
        <v>533</v>
      </c>
      <c r="B10" s="3">
        <v>725</v>
      </c>
      <c r="C10" s="3">
        <v>123</v>
      </c>
      <c r="D10" s="3">
        <v>112</v>
      </c>
      <c r="E10" s="3">
        <v>26</v>
      </c>
      <c r="F10" s="3">
        <v>0</v>
      </c>
      <c r="G10" s="3">
        <v>0</v>
      </c>
      <c r="H10" s="3">
        <v>119</v>
      </c>
      <c r="I10" s="3">
        <v>19</v>
      </c>
      <c r="J10" s="3">
        <v>0</v>
      </c>
      <c r="K10" s="3">
        <v>0</v>
      </c>
      <c r="L10" s="3">
        <v>124</v>
      </c>
      <c r="M10" s="3">
        <v>90</v>
      </c>
      <c r="N10" s="3">
        <v>0</v>
      </c>
      <c r="O10" s="3">
        <v>0</v>
      </c>
      <c r="P10" s="3">
        <v>0</v>
      </c>
      <c r="Q10" s="3">
        <v>0</v>
      </c>
      <c r="R10" s="3">
        <v>0</v>
      </c>
      <c r="S10" s="3">
        <v>0</v>
      </c>
      <c r="T10" s="3">
        <v>161</v>
      </c>
      <c r="U10" s="3">
        <v>36</v>
      </c>
      <c r="V10" s="6">
        <f t="shared" si="0"/>
        <v>1535</v>
      </c>
    </row>
    <row r="11" spans="1:22" ht="12.75">
      <c r="A11" t="s">
        <v>534</v>
      </c>
      <c r="B11" s="3">
        <v>30</v>
      </c>
      <c r="C11" s="3">
        <v>0</v>
      </c>
      <c r="D11" s="3">
        <v>3</v>
      </c>
      <c r="E11" s="3">
        <v>0</v>
      </c>
      <c r="F11" s="3">
        <v>0</v>
      </c>
      <c r="G11" s="3">
        <v>0</v>
      </c>
      <c r="H11" s="3">
        <v>0</v>
      </c>
      <c r="I11" s="3">
        <v>0</v>
      </c>
      <c r="J11" s="3">
        <v>0</v>
      </c>
      <c r="K11" s="3">
        <v>0</v>
      </c>
      <c r="L11" s="3">
        <v>6</v>
      </c>
      <c r="M11" s="3">
        <v>0</v>
      </c>
      <c r="N11" s="3">
        <v>0</v>
      </c>
      <c r="O11" s="3">
        <v>0</v>
      </c>
      <c r="P11" s="3">
        <v>0</v>
      </c>
      <c r="Q11" s="3">
        <v>0</v>
      </c>
      <c r="R11" s="3">
        <v>0</v>
      </c>
      <c r="S11" s="3">
        <v>0</v>
      </c>
      <c r="T11" s="3">
        <v>6</v>
      </c>
      <c r="U11" s="3">
        <v>0</v>
      </c>
      <c r="V11" s="6">
        <f t="shared" si="0"/>
        <v>45</v>
      </c>
    </row>
    <row r="12" spans="1:22" ht="12.75">
      <c r="A12" t="s">
        <v>535</v>
      </c>
      <c r="B12" s="3">
        <v>790</v>
      </c>
      <c r="C12" s="3">
        <v>314</v>
      </c>
      <c r="D12" s="3">
        <v>263</v>
      </c>
      <c r="E12" s="3">
        <v>47</v>
      </c>
      <c r="F12" s="3">
        <v>151</v>
      </c>
      <c r="G12" s="3">
        <v>0</v>
      </c>
      <c r="H12" s="3">
        <v>78</v>
      </c>
      <c r="I12" s="3">
        <v>81</v>
      </c>
      <c r="J12" s="3">
        <v>6</v>
      </c>
      <c r="K12" s="3">
        <v>0</v>
      </c>
      <c r="L12" s="3">
        <v>80</v>
      </c>
      <c r="M12" s="3">
        <v>29</v>
      </c>
      <c r="N12" s="3">
        <v>0</v>
      </c>
      <c r="O12" s="3">
        <v>0</v>
      </c>
      <c r="P12" s="3">
        <v>0</v>
      </c>
      <c r="Q12" s="3">
        <v>0</v>
      </c>
      <c r="R12" s="3">
        <v>185</v>
      </c>
      <c r="S12" s="3">
        <v>365</v>
      </c>
      <c r="T12" s="3">
        <v>53</v>
      </c>
      <c r="U12" s="3">
        <v>31</v>
      </c>
      <c r="V12" s="6">
        <f t="shared" si="0"/>
        <v>2473</v>
      </c>
    </row>
    <row r="13" spans="1:22" ht="12.75">
      <c r="A13" t="s">
        <v>536</v>
      </c>
      <c r="B13" s="3">
        <v>190</v>
      </c>
      <c r="C13" s="3">
        <v>0</v>
      </c>
      <c r="D13" s="3">
        <v>18</v>
      </c>
      <c r="E13" s="3">
        <v>0</v>
      </c>
      <c r="F13" s="3">
        <v>0</v>
      </c>
      <c r="G13" s="3">
        <v>0</v>
      </c>
      <c r="H13" s="3">
        <v>0</v>
      </c>
      <c r="I13" s="3">
        <v>0</v>
      </c>
      <c r="J13" s="3">
        <v>0</v>
      </c>
      <c r="K13" s="3">
        <v>0</v>
      </c>
      <c r="L13" s="3">
        <v>67</v>
      </c>
      <c r="M13" s="3">
        <v>0</v>
      </c>
      <c r="N13" s="3">
        <v>0</v>
      </c>
      <c r="O13" s="3">
        <v>0</v>
      </c>
      <c r="P13" s="3">
        <v>0</v>
      </c>
      <c r="Q13" s="3">
        <v>0</v>
      </c>
      <c r="R13" s="3">
        <v>0</v>
      </c>
      <c r="S13" s="3">
        <v>0</v>
      </c>
      <c r="T13" s="3">
        <v>37</v>
      </c>
      <c r="U13" s="3">
        <v>0</v>
      </c>
      <c r="V13" s="6">
        <f t="shared" si="0"/>
        <v>312</v>
      </c>
    </row>
    <row r="14" spans="1:22" ht="12.75">
      <c r="A14" t="s">
        <v>537</v>
      </c>
      <c r="B14" s="3">
        <v>3769</v>
      </c>
      <c r="C14" s="3">
        <v>4046</v>
      </c>
      <c r="D14" s="3">
        <v>1073</v>
      </c>
      <c r="E14" s="3">
        <v>1052</v>
      </c>
      <c r="F14" s="3">
        <v>0</v>
      </c>
      <c r="G14" s="3">
        <v>91</v>
      </c>
      <c r="H14" s="3">
        <v>393</v>
      </c>
      <c r="I14" s="3">
        <v>508</v>
      </c>
      <c r="J14" s="3">
        <v>67</v>
      </c>
      <c r="K14" s="3">
        <v>3865</v>
      </c>
      <c r="L14" s="3">
        <v>508</v>
      </c>
      <c r="M14" s="3">
        <v>441</v>
      </c>
      <c r="N14" s="3">
        <v>0</v>
      </c>
      <c r="O14" s="3">
        <v>0</v>
      </c>
      <c r="P14" s="3">
        <v>0</v>
      </c>
      <c r="Q14" s="3">
        <v>0</v>
      </c>
      <c r="R14" s="3">
        <v>663</v>
      </c>
      <c r="S14" s="3">
        <v>466</v>
      </c>
      <c r="T14" s="3">
        <v>528</v>
      </c>
      <c r="U14" s="3">
        <v>438</v>
      </c>
      <c r="V14" s="6">
        <f t="shared" si="0"/>
        <v>17908</v>
      </c>
    </row>
    <row r="15" spans="1:22" ht="12.75">
      <c r="A15" t="s">
        <v>538</v>
      </c>
      <c r="B15" s="3">
        <v>900</v>
      </c>
      <c r="C15" s="3">
        <v>700</v>
      </c>
      <c r="D15" s="3">
        <v>0</v>
      </c>
      <c r="E15" s="3">
        <v>0</v>
      </c>
      <c r="F15" s="3">
        <v>0</v>
      </c>
      <c r="G15" s="3">
        <v>0</v>
      </c>
      <c r="H15" s="3">
        <v>0</v>
      </c>
      <c r="I15" s="3">
        <v>0</v>
      </c>
      <c r="J15" s="3">
        <v>0</v>
      </c>
      <c r="K15" s="3">
        <v>0</v>
      </c>
      <c r="L15" s="3">
        <v>0</v>
      </c>
      <c r="M15" s="3">
        <v>0</v>
      </c>
      <c r="N15" s="3">
        <v>0</v>
      </c>
      <c r="O15" s="3">
        <v>0</v>
      </c>
      <c r="P15" s="3">
        <v>0</v>
      </c>
      <c r="Q15" s="3">
        <v>0</v>
      </c>
      <c r="R15" s="3">
        <v>0</v>
      </c>
      <c r="S15" s="3">
        <v>0</v>
      </c>
      <c r="T15" s="3">
        <v>0</v>
      </c>
      <c r="U15" s="3">
        <v>0</v>
      </c>
      <c r="V15" s="6">
        <f t="shared" si="0"/>
        <v>1600</v>
      </c>
    </row>
    <row r="16" spans="1:22" ht="12.75">
      <c r="A16" t="s">
        <v>744</v>
      </c>
      <c r="B16" s="3">
        <v>10</v>
      </c>
      <c r="C16" s="3">
        <v>0</v>
      </c>
      <c r="D16" s="3">
        <v>0</v>
      </c>
      <c r="E16" s="3">
        <v>0</v>
      </c>
      <c r="F16" s="3">
        <v>0</v>
      </c>
      <c r="G16" s="3">
        <v>0</v>
      </c>
      <c r="H16" s="3">
        <v>0</v>
      </c>
      <c r="I16" s="3">
        <v>0</v>
      </c>
      <c r="J16" s="3">
        <v>0</v>
      </c>
      <c r="K16" s="3">
        <v>0</v>
      </c>
      <c r="L16" s="3">
        <v>0</v>
      </c>
      <c r="M16" s="3">
        <v>0</v>
      </c>
      <c r="N16" s="3">
        <v>0</v>
      </c>
      <c r="O16" s="3">
        <v>0</v>
      </c>
      <c r="P16" s="3">
        <v>0</v>
      </c>
      <c r="Q16" s="3">
        <v>0</v>
      </c>
      <c r="R16" s="3">
        <v>0</v>
      </c>
      <c r="S16" s="3">
        <v>0</v>
      </c>
      <c r="T16" s="3">
        <v>0</v>
      </c>
      <c r="U16" s="3">
        <v>0</v>
      </c>
      <c r="V16" s="6">
        <f t="shared" si="0"/>
        <v>10</v>
      </c>
    </row>
    <row r="17" spans="1:22" ht="12.75">
      <c r="A17" t="s">
        <v>539</v>
      </c>
      <c r="B17" s="3">
        <v>125</v>
      </c>
      <c r="C17" s="3">
        <v>0</v>
      </c>
      <c r="D17" s="3">
        <v>10</v>
      </c>
      <c r="E17" s="3">
        <v>0</v>
      </c>
      <c r="F17" s="3">
        <v>0</v>
      </c>
      <c r="G17" s="3">
        <v>0</v>
      </c>
      <c r="H17" s="3">
        <v>0</v>
      </c>
      <c r="I17" s="3">
        <v>0</v>
      </c>
      <c r="J17" s="3">
        <v>0</v>
      </c>
      <c r="K17" s="3">
        <v>0</v>
      </c>
      <c r="L17" s="3">
        <v>23</v>
      </c>
      <c r="M17" s="3">
        <v>0</v>
      </c>
      <c r="N17" s="3">
        <v>0</v>
      </c>
      <c r="O17" s="3">
        <v>0</v>
      </c>
      <c r="P17" s="3">
        <v>0</v>
      </c>
      <c r="Q17" s="3">
        <v>0</v>
      </c>
      <c r="R17" s="3">
        <v>0</v>
      </c>
      <c r="S17" s="3">
        <v>0</v>
      </c>
      <c r="T17" s="3">
        <v>0</v>
      </c>
      <c r="U17" s="3">
        <v>0</v>
      </c>
      <c r="V17" s="6">
        <f t="shared" si="0"/>
        <v>158</v>
      </c>
    </row>
    <row r="18" spans="1:22" ht="12.75">
      <c r="A18" t="s">
        <v>540</v>
      </c>
      <c r="B18" s="3">
        <v>581</v>
      </c>
      <c r="C18" s="3">
        <v>190</v>
      </c>
      <c r="D18" s="3">
        <v>226</v>
      </c>
      <c r="E18" s="3">
        <v>84</v>
      </c>
      <c r="F18" s="3">
        <v>0</v>
      </c>
      <c r="G18" s="3">
        <v>0</v>
      </c>
      <c r="H18" s="3">
        <v>142</v>
      </c>
      <c r="I18" s="3">
        <v>22</v>
      </c>
      <c r="J18" s="3">
        <v>0</v>
      </c>
      <c r="K18" s="3">
        <v>18</v>
      </c>
      <c r="L18" s="3">
        <v>115</v>
      </c>
      <c r="M18" s="3">
        <v>5</v>
      </c>
      <c r="N18" s="3">
        <v>0</v>
      </c>
      <c r="O18" s="3">
        <v>0</v>
      </c>
      <c r="P18" s="3">
        <v>0</v>
      </c>
      <c r="Q18" s="3">
        <v>0</v>
      </c>
      <c r="R18" s="3">
        <v>0</v>
      </c>
      <c r="S18" s="3">
        <v>0</v>
      </c>
      <c r="T18" s="3">
        <v>0</v>
      </c>
      <c r="U18" s="3">
        <v>1</v>
      </c>
      <c r="V18" s="6">
        <f t="shared" si="0"/>
        <v>1384</v>
      </c>
    </row>
    <row r="19" spans="1:22" ht="12.75">
      <c r="A19" t="s">
        <v>541</v>
      </c>
      <c r="B19" s="3">
        <v>38</v>
      </c>
      <c r="C19" s="3">
        <v>0</v>
      </c>
      <c r="D19" s="3">
        <v>0</v>
      </c>
      <c r="E19" s="3">
        <v>0</v>
      </c>
      <c r="F19" s="3">
        <v>0</v>
      </c>
      <c r="G19" s="3">
        <v>0</v>
      </c>
      <c r="H19" s="3">
        <v>0</v>
      </c>
      <c r="I19" s="3">
        <v>0</v>
      </c>
      <c r="J19" s="3">
        <v>0</v>
      </c>
      <c r="K19" s="3">
        <v>0</v>
      </c>
      <c r="L19" s="3">
        <v>10</v>
      </c>
      <c r="M19" s="3">
        <v>0</v>
      </c>
      <c r="N19" s="3">
        <v>0</v>
      </c>
      <c r="O19" s="3">
        <v>0</v>
      </c>
      <c r="P19" s="3">
        <v>0</v>
      </c>
      <c r="Q19" s="3">
        <v>0</v>
      </c>
      <c r="R19" s="3">
        <v>0</v>
      </c>
      <c r="S19" s="3">
        <v>0</v>
      </c>
      <c r="T19" s="3">
        <v>9</v>
      </c>
      <c r="U19" s="3">
        <v>0</v>
      </c>
      <c r="V19" s="6">
        <f t="shared" si="0"/>
        <v>57</v>
      </c>
    </row>
    <row r="20" spans="1:22" ht="12.75">
      <c r="A20" t="s">
        <v>542</v>
      </c>
      <c r="B20" s="3">
        <v>45</v>
      </c>
      <c r="C20" s="3">
        <v>114</v>
      </c>
      <c r="D20" s="3">
        <v>5</v>
      </c>
      <c r="E20" s="3">
        <v>6</v>
      </c>
      <c r="F20" s="3">
        <v>0</v>
      </c>
      <c r="G20" s="3">
        <v>0</v>
      </c>
      <c r="H20" s="3">
        <v>0</v>
      </c>
      <c r="I20" s="3">
        <v>0</v>
      </c>
      <c r="J20" s="3">
        <v>0</v>
      </c>
      <c r="K20" s="3">
        <v>0</v>
      </c>
      <c r="L20" s="3">
        <v>6</v>
      </c>
      <c r="M20" s="3">
        <v>7</v>
      </c>
      <c r="N20" s="3">
        <v>0</v>
      </c>
      <c r="O20" s="3">
        <v>0</v>
      </c>
      <c r="P20" s="3">
        <v>0</v>
      </c>
      <c r="Q20" s="3">
        <v>0</v>
      </c>
      <c r="R20" s="3">
        <v>0</v>
      </c>
      <c r="S20" s="3">
        <v>0</v>
      </c>
      <c r="T20" s="3">
        <v>0</v>
      </c>
      <c r="U20" s="3">
        <v>2</v>
      </c>
      <c r="V20" s="6">
        <f t="shared" si="0"/>
        <v>185</v>
      </c>
    </row>
    <row r="21" spans="1:22" ht="12.75">
      <c r="A21" t="s">
        <v>543</v>
      </c>
      <c r="B21" s="3">
        <v>51</v>
      </c>
      <c r="C21" s="3">
        <v>112</v>
      </c>
      <c r="D21" s="3">
        <v>3</v>
      </c>
      <c r="E21" s="3">
        <v>3</v>
      </c>
      <c r="F21" s="3">
        <v>0</v>
      </c>
      <c r="G21" s="3">
        <v>0</v>
      </c>
      <c r="H21" s="3">
        <v>0</v>
      </c>
      <c r="I21" s="3">
        <v>0</v>
      </c>
      <c r="J21" s="3">
        <v>0</v>
      </c>
      <c r="K21" s="3">
        <v>0</v>
      </c>
      <c r="L21" s="3">
        <v>4</v>
      </c>
      <c r="M21" s="3">
        <v>2</v>
      </c>
      <c r="N21" s="3">
        <v>0</v>
      </c>
      <c r="O21" s="3">
        <v>0</v>
      </c>
      <c r="P21" s="3">
        <v>0</v>
      </c>
      <c r="Q21" s="3">
        <v>0</v>
      </c>
      <c r="R21" s="3">
        <v>0</v>
      </c>
      <c r="S21" s="3">
        <v>0</v>
      </c>
      <c r="T21" s="3">
        <v>17</v>
      </c>
      <c r="U21" s="3">
        <v>15</v>
      </c>
      <c r="V21" s="6">
        <f t="shared" si="0"/>
        <v>207</v>
      </c>
    </row>
    <row r="22" spans="1:22" ht="12.75">
      <c r="A22" t="s">
        <v>544</v>
      </c>
      <c r="B22" s="3">
        <v>4</v>
      </c>
      <c r="C22" s="3">
        <v>0</v>
      </c>
      <c r="D22" s="3">
        <v>4</v>
      </c>
      <c r="E22" s="3">
        <v>0</v>
      </c>
      <c r="F22" s="3">
        <v>0</v>
      </c>
      <c r="G22" s="3">
        <v>0</v>
      </c>
      <c r="H22" s="3">
        <v>0</v>
      </c>
      <c r="I22" s="3">
        <v>0</v>
      </c>
      <c r="J22" s="3">
        <v>0</v>
      </c>
      <c r="K22" s="3">
        <v>0</v>
      </c>
      <c r="L22" s="3">
        <v>2</v>
      </c>
      <c r="M22" s="3">
        <v>0</v>
      </c>
      <c r="N22" s="3">
        <v>0</v>
      </c>
      <c r="O22" s="3">
        <v>0</v>
      </c>
      <c r="P22" s="3">
        <v>0</v>
      </c>
      <c r="Q22" s="3">
        <v>0</v>
      </c>
      <c r="R22" s="3">
        <v>0</v>
      </c>
      <c r="S22" s="3">
        <v>0</v>
      </c>
      <c r="T22" s="3">
        <v>0</v>
      </c>
      <c r="U22" s="3">
        <v>0</v>
      </c>
      <c r="V22" s="6">
        <f t="shared" si="0"/>
        <v>10</v>
      </c>
    </row>
    <row r="23" spans="1:22" ht="12.75">
      <c r="A23" t="s">
        <v>545</v>
      </c>
      <c r="B23" s="3">
        <v>37</v>
      </c>
      <c r="C23" s="3">
        <v>292</v>
      </c>
      <c r="D23" s="3">
        <v>2</v>
      </c>
      <c r="E23" s="3">
        <v>61</v>
      </c>
      <c r="F23" s="3">
        <v>0</v>
      </c>
      <c r="G23" s="3">
        <v>358</v>
      </c>
      <c r="H23" s="3">
        <v>36</v>
      </c>
      <c r="I23" s="3">
        <v>72</v>
      </c>
      <c r="J23" s="3">
        <v>0</v>
      </c>
      <c r="K23" s="3">
        <v>1</v>
      </c>
      <c r="L23" s="3">
        <v>0</v>
      </c>
      <c r="M23" s="3">
        <v>41</v>
      </c>
      <c r="N23" s="3">
        <v>0</v>
      </c>
      <c r="O23" s="3">
        <v>0</v>
      </c>
      <c r="P23" s="3">
        <v>0</v>
      </c>
      <c r="Q23" s="3">
        <v>0</v>
      </c>
      <c r="R23" s="3">
        <v>0</v>
      </c>
      <c r="S23" s="3">
        <v>0</v>
      </c>
      <c r="T23" s="3">
        <v>0</v>
      </c>
      <c r="U23" s="3">
        <v>2</v>
      </c>
      <c r="V23" s="6">
        <f t="shared" si="0"/>
        <v>902</v>
      </c>
    </row>
    <row r="24" spans="1:22" ht="12.75">
      <c r="A24" t="s">
        <v>546</v>
      </c>
      <c r="B24" s="3">
        <v>16</v>
      </c>
      <c r="C24" s="3">
        <v>0</v>
      </c>
      <c r="D24" s="3">
        <v>0</v>
      </c>
      <c r="E24" s="3">
        <v>0</v>
      </c>
      <c r="F24" s="3">
        <v>0</v>
      </c>
      <c r="G24" s="3">
        <v>0</v>
      </c>
      <c r="H24" s="3">
        <v>0</v>
      </c>
      <c r="I24" s="3">
        <v>0</v>
      </c>
      <c r="J24" s="3">
        <v>0</v>
      </c>
      <c r="K24" s="3">
        <v>0</v>
      </c>
      <c r="L24" s="3">
        <v>0</v>
      </c>
      <c r="M24" s="3">
        <v>0</v>
      </c>
      <c r="N24" s="3">
        <v>0</v>
      </c>
      <c r="O24" s="3">
        <v>0</v>
      </c>
      <c r="P24" s="3">
        <v>0</v>
      </c>
      <c r="Q24" s="3">
        <v>0</v>
      </c>
      <c r="R24" s="3">
        <v>0</v>
      </c>
      <c r="S24" s="3">
        <v>0</v>
      </c>
      <c r="T24" s="3">
        <v>0</v>
      </c>
      <c r="U24" s="3">
        <v>0</v>
      </c>
      <c r="V24" s="6">
        <f t="shared" si="0"/>
        <v>16</v>
      </c>
    </row>
    <row r="25" spans="1:22" ht="12.75">
      <c r="A25" t="s">
        <v>547</v>
      </c>
      <c r="B25" s="3">
        <v>0</v>
      </c>
      <c r="C25" s="3">
        <v>102</v>
      </c>
      <c r="D25" s="3">
        <v>0</v>
      </c>
      <c r="E25" s="3">
        <v>0</v>
      </c>
      <c r="F25" s="3">
        <v>0</v>
      </c>
      <c r="G25" s="3">
        <v>0</v>
      </c>
      <c r="H25" s="3">
        <v>0</v>
      </c>
      <c r="I25" s="3">
        <v>10</v>
      </c>
      <c r="J25" s="3">
        <v>0</v>
      </c>
      <c r="K25" s="3">
        <v>6</v>
      </c>
      <c r="L25" s="3">
        <v>0</v>
      </c>
      <c r="M25" s="3">
        <v>16</v>
      </c>
      <c r="N25" s="3">
        <v>0</v>
      </c>
      <c r="O25" s="3">
        <v>0</v>
      </c>
      <c r="P25" s="3">
        <v>0</v>
      </c>
      <c r="Q25" s="3">
        <v>0</v>
      </c>
      <c r="R25" s="3">
        <v>0</v>
      </c>
      <c r="S25" s="3">
        <v>0</v>
      </c>
      <c r="T25" s="3">
        <v>0</v>
      </c>
      <c r="U25" s="3">
        <v>0</v>
      </c>
      <c r="V25" s="6">
        <f t="shared" si="0"/>
        <v>134</v>
      </c>
    </row>
    <row r="26" spans="1:22" ht="12.75">
      <c r="A26" t="s">
        <v>745</v>
      </c>
      <c r="B26" s="3">
        <v>10</v>
      </c>
      <c r="C26" s="3">
        <v>0</v>
      </c>
      <c r="D26" s="3">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6">
        <f t="shared" si="0"/>
        <v>10</v>
      </c>
    </row>
    <row r="27" spans="1:22" ht="12.75">
      <c r="A27" t="s">
        <v>548</v>
      </c>
      <c r="B27" s="3">
        <v>486</v>
      </c>
      <c r="C27" s="3">
        <v>578</v>
      </c>
      <c r="D27" s="3">
        <v>295</v>
      </c>
      <c r="E27" s="3">
        <v>586</v>
      </c>
      <c r="F27" s="3">
        <v>0</v>
      </c>
      <c r="G27" s="3">
        <v>0</v>
      </c>
      <c r="H27" s="3">
        <v>31</v>
      </c>
      <c r="I27" s="3">
        <v>158</v>
      </c>
      <c r="J27" s="3">
        <v>0</v>
      </c>
      <c r="K27" s="3">
        <v>7</v>
      </c>
      <c r="L27" s="3">
        <v>54</v>
      </c>
      <c r="M27" s="3">
        <v>84</v>
      </c>
      <c r="N27" s="3">
        <v>0</v>
      </c>
      <c r="O27" s="3">
        <v>0</v>
      </c>
      <c r="P27" s="3">
        <v>0</v>
      </c>
      <c r="Q27" s="3">
        <v>0</v>
      </c>
      <c r="R27" s="3">
        <v>0</v>
      </c>
      <c r="S27" s="3">
        <v>4</v>
      </c>
      <c r="T27" s="3">
        <v>70</v>
      </c>
      <c r="U27" s="3">
        <v>74</v>
      </c>
      <c r="V27" s="6">
        <f t="shared" si="0"/>
        <v>2427</v>
      </c>
    </row>
    <row r="28" spans="1:22" ht="12.75">
      <c r="A28" t="s">
        <v>549</v>
      </c>
      <c r="B28" s="3">
        <v>0</v>
      </c>
      <c r="C28" s="3">
        <v>49</v>
      </c>
      <c r="D28" s="3">
        <v>0</v>
      </c>
      <c r="E28" s="3">
        <v>2</v>
      </c>
      <c r="F28" s="3">
        <v>0</v>
      </c>
      <c r="G28" s="3">
        <v>0</v>
      </c>
      <c r="H28" s="3">
        <v>0</v>
      </c>
      <c r="I28" s="3">
        <v>0</v>
      </c>
      <c r="J28" s="3">
        <v>0</v>
      </c>
      <c r="K28" s="3">
        <v>1</v>
      </c>
      <c r="L28" s="3">
        <v>0</v>
      </c>
      <c r="M28" s="3">
        <v>42</v>
      </c>
      <c r="N28" s="3">
        <v>0</v>
      </c>
      <c r="O28" s="3">
        <v>0</v>
      </c>
      <c r="P28" s="3">
        <v>0</v>
      </c>
      <c r="Q28" s="3">
        <v>0</v>
      </c>
      <c r="R28" s="3">
        <v>0</v>
      </c>
      <c r="S28" s="3">
        <v>0</v>
      </c>
      <c r="T28" s="3">
        <v>0</v>
      </c>
      <c r="U28" s="3">
        <v>0</v>
      </c>
      <c r="V28" s="6">
        <f t="shared" si="0"/>
        <v>94</v>
      </c>
    </row>
    <row r="29" spans="1:22" ht="12.75">
      <c r="A29" t="s">
        <v>550</v>
      </c>
      <c r="B29" s="3">
        <v>27</v>
      </c>
      <c r="C29" s="3">
        <v>0</v>
      </c>
      <c r="D29" s="3">
        <v>162</v>
      </c>
      <c r="E29" s="3">
        <v>0</v>
      </c>
      <c r="F29" s="3">
        <v>0</v>
      </c>
      <c r="G29" s="3">
        <v>0</v>
      </c>
      <c r="H29" s="3">
        <v>0</v>
      </c>
      <c r="I29" s="3">
        <v>0</v>
      </c>
      <c r="J29" s="3">
        <v>0</v>
      </c>
      <c r="K29" s="3">
        <v>0</v>
      </c>
      <c r="L29" s="3">
        <v>2</v>
      </c>
      <c r="M29" s="3">
        <v>0</v>
      </c>
      <c r="N29" s="3">
        <v>0</v>
      </c>
      <c r="O29" s="3">
        <v>0</v>
      </c>
      <c r="P29" s="3">
        <v>0</v>
      </c>
      <c r="Q29" s="3">
        <v>0</v>
      </c>
      <c r="R29" s="3">
        <v>0</v>
      </c>
      <c r="S29" s="3">
        <v>0</v>
      </c>
      <c r="T29" s="3">
        <v>0</v>
      </c>
      <c r="U29" s="3">
        <v>0</v>
      </c>
      <c r="V29" s="6">
        <f t="shared" si="0"/>
        <v>191</v>
      </c>
    </row>
    <row r="30" spans="1:22" ht="12.75">
      <c r="A30" t="s">
        <v>551</v>
      </c>
      <c r="B30" s="3">
        <v>0</v>
      </c>
      <c r="C30" s="3">
        <v>18</v>
      </c>
      <c r="D30" s="3">
        <v>0</v>
      </c>
      <c r="E30" s="3">
        <v>0</v>
      </c>
      <c r="F30" s="3">
        <v>0</v>
      </c>
      <c r="G30" s="3">
        <v>0</v>
      </c>
      <c r="H30" s="3">
        <v>0</v>
      </c>
      <c r="I30" s="3">
        <v>0</v>
      </c>
      <c r="J30" s="3">
        <v>0</v>
      </c>
      <c r="K30" s="3">
        <v>0</v>
      </c>
      <c r="L30" s="3">
        <v>0</v>
      </c>
      <c r="M30" s="3">
        <v>12</v>
      </c>
      <c r="N30" s="3">
        <v>0</v>
      </c>
      <c r="O30" s="3">
        <v>0</v>
      </c>
      <c r="P30" s="3">
        <v>0</v>
      </c>
      <c r="Q30" s="3">
        <v>0</v>
      </c>
      <c r="R30" s="3">
        <v>0</v>
      </c>
      <c r="S30" s="3">
        <v>0</v>
      </c>
      <c r="T30" s="3">
        <v>0</v>
      </c>
      <c r="U30" s="3">
        <v>0</v>
      </c>
      <c r="V30" s="6">
        <f t="shared" si="0"/>
        <v>30</v>
      </c>
    </row>
    <row r="31" spans="1:22" ht="12.75">
      <c r="A31" t="s">
        <v>552</v>
      </c>
      <c r="B31" s="3">
        <v>20</v>
      </c>
      <c r="C31" s="3">
        <v>46</v>
      </c>
      <c r="D31" s="3">
        <v>0</v>
      </c>
      <c r="E31" s="3">
        <v>89</v>
      </c>
      <c r="F31" s="3">
        <v>0</v>
      </c>
      <c r="G31" s="3">
        <v>0</v>
      </c>
      <c r="H31" s="3">
        <v>0</v>
      </c>
      <c r="I31" s="3">
        <v>42</v>
      </c>
      <c r="J31" s="3">
        <v>0</v>
      </c>
      <c r="K31" s="3">
        <v>0</v>
      </c>
      <c r="L31" s="3">
        <v>6</v>
      </c>
      <c r="M31" s="3">
        <v>93</v>
      </c>
      <c r="N31" s="3">
        <v>0</v>
      </c>
      <c r="O31" s="3">
        <v>0</v>
      </c>
      <c r="P31" s="3">
        <v>0</v>
      </c>
      <c r="Q31" s="3">
        <v>0</v>
      </c>
      <c r="R31" s="3">
        <v>0</v>
      </c>
      <c r="S31" s="3">
        <v>0</v>
      </c>
      <c r="T31" s="3">
        <v>0</v>
      </c>
      <c r="U31" s="3">
        <v>3</v>
      </c>
      <c r="V31" s="6">
        <f t="shared" si="0"/>
        <v>299</v>
      </c>
    </row>
    <row r="32" spans="1:22" ht="12.75">
      <c r="A32" t="s">
        <v>553</v>
      </c>
      <c r="B32" s="3">
        <v>21</v>
      </c>
      <c r="C32" s="3">
        <v>0</v>
      </c>
      <c r="D32" s="3">
        <v>8</v>
      </c>
      <c r="E32" s="3">
        <v>0</v>
      </c>
      <c r="F32" s="3">
        <v>0</v>
      </c>
      <c r="G32" s="3">
        <v>0</v>
      </c>
      <c r="H32" s="3">
        <v>0</v>
      </c>
      <c r="I32" s="3">
        <v>0</v>
      </c>
      <c r="J32" s="3">
        <v>0</v>
      </c>
      <c r="K32" s="3">
        <v>0</v>
      </c>
      <c r="L32" s="3">
        <v>3</v>
      </c>
      <c r="M32" s="3">
        <v>0</v>
      </c>
      <c r="N32" s="3">
        <v>0</v>
      </c>
      <c r="O32" s="3">
        <v>0</v>
      </c>
      <c r="P32" s="3">
        <v>0</v>
      </c>
      <c r="Q32" s="3">
        <v>0</v>
      </c>
      <c r="R32" s="3">
        <v>0</v>
      </c>
      <c r="S32" s="3">
        <v>0</v>
      </c>
      <c r="T32" s="3">
        <v>0</v>
      </c>
      <c r="U32" s="3">
        <v>0</v>
      </c>
      <c r="V32" s="6">
        <f t="shared" si="0"/>
        <v>32</v>
      </c>
    </row>
    <row r="33" spans="1:22" ht="12.75">
      <c r="A33" t="s">
        <v>554</v>
      </c>
      <c r="B33" s="3">
        <v>41</v>
      </c>
      <c r="C33" s="3">
        <v>0</v>
      </c>
      <c r="D33" s="3">
        <v>0</v>
      </c>
      <c r="E33" s="3">
        <v>0</v>
      </c>
      <c r="F33" s="3">
        <v>0</v>
      </c>
      <c r="G33" s="3">
        <v>0</v>
      </c>
      <c r="H33" s="3">
        <v>0</v>
      </c>
      <c r="I33" s="3">
        <v>0</v>
      </c>
      <c r="J33" s="3">
        <v>0</v>
      </c>
      <c r="K33" s="3">
        <v>0</v>
      </c>
      <c r="L33" s="3">
        <v>10</v>
      </c>
      <c r="M33" s="3">
        <v>0</v>
      </c>
      <c r="N33" s="3">
        <v>0</v>
      </c>
      <c r="O33" s="3">
        <v>0</v>
      </c>
      <c r="P33" s="3">
        <v>0</v>
      </c>
      <c r="Q33" s="3">
        <v>0</v>
      </c>
      <c r="R33" s="3">
        <v>0</v>
      </c>
      <c r="S33" s="3">
        <v>0</v>
      </c>
      <c r="T33" s="3">
        <v>0</v>
      </c>
      <c r="U33" s="3">
        <v>0</v>
      </c>
      <c r="V33" s="6">
        <f t="shared" si="0"/>
        <v>51</v>
      </c>
    </row>
    <row r="34" spans="1:22" ht="12.75">
      <c r="A34" t="s">
        <v>555</v>
      </c>
      <c r="B34" s="3">
        <v>318</v>
      </c>
      <c r="C34" s="3">
        <v>884</v>
      </c>
      <c r="D34" s="3">
        <v>4</v>
      </c>
      <c r="E34" s="3">
        <v>206</v>
      </c>
      <c r="F34" s="3">
        <v>0</v>
      </c>
      <c r="G34" s="3">
        <v>103</v>
      </c>
      <c r="H34" s="3">
        <v>0</v>
      </c>
      <c r="I34" s="3">
        <v>309</v>
      </c>
      <c r="J34" s="3">
        <v>0</v>
      </c>
      <c r="K34" s="3">
        <v>5</v>
      </c>
      <c r="L34" s="3">
        <v>216</v>
      </c>
      <c r="M34" s="3">
        <v>390</v>
      </c>
      <c r="N34" s="3">
        <v>0</v>
      </c>
      <c r="O34" s="3">
        <v>0</v>
      </c>
      <c r="P34" s="3">
        <v>0</v>
      </c>
      <c r="Q34" s="3">
        <v>0</v>
      </c>
      <c r="R34" s="3">
        <v>0</v>
      </c>
      <c r="S34" s="3">
        <v>135</v>
      </c>
      <c r="T34" s="3">
        <v>0</v>
      </c>
      <c r="U34" s="3">
        <v>3</v>
      </c>
      <c r="V34" s="6">
        <f t="shared" si="0"/>
        <v>2573</v>
      </c>
    </row>
    <row r="35" spans="1:22" ht="12.75">
      <c r="A35" t="s">
        <v>556</v>
      </c>
      <c r="B35" s="3">
        <v>7850</v>
      </c>
      <c r="C35" s="3">
        <v>25287</v>
      </c>
      <c r="D35" s="3">
        <v>3021</v>
      </c>
      <c r="E35" s="3">
        <v>11618</v>
      </c>
      <c r="F35" s="3">
        <v>496</v>
      </c>
      <c r="G35" s="3">
        <v>1740</v>
      </c>
      <c r="H35" s="3">
        <v>795</v>
      </c>
      <c r="I35" s="3">
        <v>4960</v>
      </c>
      <c r="J35" s="3">
        <v>214</v>
      </c>
      <c r="K35" s="3">
        <v>13036</v>
      </c>
      <c r="L35" s="3">
        <v>2516</v>
      </c>
      <c r="M35" s="3">
        <v>5764</v>
      </c>
      <c r="N35" s="3">
        <v>0</v>
      </c>
      <c r="O35" s="3">
        <v>0</v>
      </c>
      <c r="P35" s="3">
        <v>0</v>
      </c>
      <c r="Q35" s="3">
        <v>1</v>
      </c>
      <c r="R35" s="3">
        <v>123</v>
      </c>
      <c r="S35" s="3">
        <v>2827</v>
      </c>
      <c r="T35" s="3">
        <v>24</v>
      </c>
      <c r="U35" s="3">
        <v>37</v>
      </c>
      <c r="V35" s="6">
        <f t="shared" si="0"/>
        <v>80309</v>
      </c>
    </row>
    <row r="36" spans="1:22" ht="12.75">
      <c r="A36" t="s">
        <v>557</v>
      </c>
      <c r="B36" s="3">
        <v>0</v>
      </c>
      <c r="C36" s="3">
        <v>48</v>
      </c>
      <c r="D36" s="3">
        <v>0</v>
      </c>
      <c r="E36" s="3">
        <v>134</v>
      </c>
      <c r="F36" s="3">
        <v>0</v>
      </c>
      <c r="G36" s="3">
        <v>0</v>
      </c>
      <c r="H36" s="3">
        <v>0</v>
      </c>
      <c r="I36" s="3">
        <v>0</v>
      </c>
      <c r="J36" s="3">
        <v>0</v>
      </c>
      <c r="K36" s="3">
        <v>0</v>
      </c>
      <c r="L36" s="3">
        <v>0</v>
      </c>
      <c r="M36" s="3">
        <v>5</v>
      </c>
      <c r="N36" s="3">
        <v>0</v>
      </c>
      <c r="O36" s="3">
        <v>0</v>
      </c>
      <c r="P36" s="3">
        <v>0</v>
      </c>
      <c r="Q36" s="3">
        <v>0</v>
      </c>
      <c r="R36" s="3">
        <v>0</v>
      </c>
      <c r="S36" s="3">
        <v>0</v>
      </c>
      <c r="T36" s="3">
        <v>0</v>
      </c>
      <c r="U36" s="3">
        <v>0</v>
      </c>
      <c r="V36" s="6">
        <f t="shared" si="0"/>
        <v>187</v>
      </c>
    </row>
    <row r="37" spans="1:22" ht="12.75">
      <c r="A37" t="s">
        <v>558</v>
      </c>
      <c r="B37" s="3">
        <v>235</v>
      </c>
      <c r="C37" s="3">
        <v>42</v>
      </c>
      <c r="D37" s="3">
        <v>14</v>
      </c>
      <c r="E37" s="3">
        <v>13</v>
      </c>
      <c r="F37" s="3">
        <v>0</v>
      </c>
      <c r="G37" s="3">
        <v>0</v>
      </c>
      <c r="H37" s="3">
        <v>0</v>
      </c>
      <c r="I37" s="3">
        <v>35</v>
      </c>
      <c r="J37" s="3">
        <v>0</v>
      </c>
      <c r="K37" s="3">
        <v>0</v>
      </c>
      <c r="L37" s="3">
        <v>147</v>
      </c>
      <c r="M37" s="3">
        <v>1</v>
      </c>
      <c r="N37" s="3">
        <v>0</v>
      </c>
      <c r="O37" s="3">
        <v>0</v>
      </c>
      <c r="P37" s="3">
        <v>0</v>
      </c>
      <c r="Q37" s="3">
        <v>0</v>
      </c>
      <c r="R37" s="3">
        <v>0</v>
      </c>
      <c r="S37" s="3">
        <v>0</v>
      </c>
      <c r="T37" s="3">
        <v>0</v>
      </c>
      <c r="U37" s="3">
        <v>0</v>
      </c>
      <c r="V37" s="6">
        <f t="shared" si="0"/>
        <v>487</v>
      </c>
    </row>
    <row r="38" spans="1:22" ht="12.75">
      <c r="A38" t="s">
        <v>559</v>
      </c>
      <c r="B38" s="3">
        <v>1518</v>
      </c>
      <c r="C38" s="3">
        <v>2305</v>
      </c>
      <c r="D38" s="3">
        <v>381</v>
      </c>
      <c r="E38" s="3">
        <v>1114</v>
      </c>
      <c r="F38" s="3">
        <v>0</v>
      </c>
      <c r="G38" s="3">
        <v>111</v>
      </c>
      <c r="H38" s="3">
        <v>257</v>
      </c>
      <c r="I38" s="3">
        <v>306</v>
      </c>
      <c r="J38" s="3">
        <v>65</v>
      </c>
      <c r="K38" s="3">
        <v>1381</v>
      </c>
      <c r="L38" s="3">
        <v>296</v>
      </c>
      <c r="M38" s="3">
        <v>564</v>
      </c>
      <c r="N38" s="3">
        <v>0</v>
      </c>
      <c r="O38" s="3">
        <v>0</v>
      </c>
      <c r="P38" s="3">
        <v>2</v>
      </c>
      <c r="Q38" s="3">
        <v>0</v>
      </c>
      <c r="R38" s="3">
        <v>2</v>
      </c>
      <c r="S38" s="3">
        <v>37</v>
      </c>
      <c r="T38" s="3">
        <v>2</v>
      </c>
      <c r="U38" s="3">
        <v>0</v>
      </c>
      <c r="V38" s="6">
        <f t="shared" si="0"/>
        <v>8341</v>
      </c>
    </row>
    <row r="39" spans="1:22" ht="12.75">
      <c r="A39" t="s">
        <v>560</v>
      </c>
      <c r="B39" s="3">
        <v>177</v>
      </c>
      <c r="C39" s="3">
        <v>0</v>
      </c>
      <c r="D39" s="3">
        <v>45</v>
      </c>
      <c r="E39" s="3">
        <v>0</v>
      </c>
      <c r="F39" s="3">
        <v>0</v>
      </c>
      <c r="G39" s="3">
        <v>0</v>
      </c>
      <c r="H39" s="3">
        <v>0</v>
      </c>
      <c r="I39" s="3">
        <v>0</v>
      </c>
      <c r="J39" s="3">
        <v>0</v>
      </c>
      <c r="K39" s="3">
        <v>0</v>
      </c>
      <c r="L39" s="3">
        <v>30</v>
      </c>
      <c r="M39" s="3">
        <v>0</v>
      </c>
      <c r="N39" s="3">
        <v>0</v>
      </c>
      <c r="O39" s="3">
        <v>0</v>
      </c>
      <c r="P39" s="3">
        <v>0</v>
      </c>
      <c r="Q39" s="3">
        <v>0</v>
      </c>
      <c r="R39" s="3">
        <v>0</v>
      </c>
      <c r="S39" s="3">
        <v>0</v>
      </c>
      <c r="T39" s="3">
        <v>0</v>
      </c>
      <c r="U39" s="3">
        <v>0</v>
      </c>
      <c r="V39" s="6">
        <f aca="true" t="shared" si="1" ref="V39:V70">SUM(B39:U39)</f>
        <v>252</v>
      </c>
    </row>
    <row r="40" spans="1:22" ht="12.75">
      <c r="A40" t="s">
        <v>561</v>
      </c>
      <c r="B40" s="3">
        <v>616</v>
      </c>
      <c r="C40" s="3">
        <v>467</v>
      </c>
      <c r="D40" s="3">
        <v>38</v>
      </c>
      <c r="E40" s="3">
        <v>162</v>
      </c>
      <c r="F40" s="3">
        <v>0</v>
      </c>
      <c r="G40" s="3">
        <v>0</v>
      </c>
      <c r="H40" s="3">
        <v>70</v>
      </c>
      <c r="I40" s="3">
        <v>105</v>
      </c>
      <c r="J40" s="3">
        <v>4</v>
      </c>
      <c r="K40" s="3">
        <v>24</v>
      </c>
      <c r="L40" s="3">
        <v>98</v>
      </c>
      <c r="M40" s="3">
        <v>131</v>
      </c>
      <c r="N40" s="3">
        <v>0</v>
      </c>
      <c r="O40" s="3">
        <v>0</v>
      </c>
      <c r="P40" s="3">
        <v>0</v>
      </c>
      <c r="Q40" s="3">
        <v>0</v>
      </c>
      <c r="R40" s="3">
        <v>122</v>
      </c>
      <c r="S40" s="3">
        <v>350</v>
      </c>
      <c r="T40" s="3">
        <v>0</v>
      </c>
      <c r="U40" s="3">
        <v>0</v>
      </c>
      <c r="V40" s="6">
        <f t="shared" si="1"/>
        <v>2187</v>
      </c>
    </row>
    <row r="41" spans="1:22" ht="12.75">
      <c r="A41" t="s">
        <v>562</v>
      </c>
      <c r="B41" s="3">
        <v>37</v>
      </c>
      <c r="C41" s="3">
        <v>0</v>
      </c>
      <c r="D41" s="3">
        <v>6</v>
      </c>
      <c r="E41" s="3">
        <v>0</v>
      </c>
      <c r="F41" s="3">
        <v>0</v>
      </c>
      <c r="G41" s="3">
        <v>0</v>
      </c>
      <c r="H41" s="3">
        <v>33</v>
      </c>
      <c r="I41" s="3">
        <v>0</v>
      </c>
      <c r="J41" s="3">
        <v>0</v>
      </c>
      <c r="K41" s="3">
        <v>0</v>
      </c>
      <c r="L41" s="3">
        <v>7</v>
      </c>
      <c r="M41" s="3">
        <v>0</v>
      </c>
      <c r="N41" s="3">
        <v>0</v>
      </c>
      <c r="O41" s="3">
        <v>0</v>
      </c>
      <c r="P41" s="3">
        <v>0</v>
      </c>
      <c r="Q41" s="3">
        <v>0</v>
      </c>
      <c r="R41" s="3">
        <v>0</v>
      </c>
      <c r="S41" s="3">
        <v>0</v>
      </c>
      <c r="T41" s="3">
        <v>0</v>
      </c>
      <c r="U41" s="3">
        <v>0</v>
      </c>
      <c r="V41" s="6">
        <f t="shared" si="1"/>
        <v>83</v>
      </c>
    </row>
    <row r="42" spans="1:22" ht="12.75">
      <c r="A42" t="s">
        <v>563</v>
      </c>
      <c r="B42" s="3">
        <v>316</v>
      </c>
      <c r="C42" s="3">
        <v>1964</v>
      </c>
      <c r="D42" s="3">
        <v>100</v>
      </c>
      <c r="E42" s="3">
        <v>1040</v>
      </c>
      <c r="F42" s="3">
        <v>0</v>
      </c>
      <c r="G42" s="3">
        <v>95</v>
      </c>
      <c r="H42" s="3">
        <v>68</v>
      </c>
      <c r="I42" s="3">
        <v>650</v>
      </c>
      <c r="J42" s="3">
        <v>0</v>
      </c>
      <c r="K42" s="3">
        <v>855</v>
      </c>
      <c r="L42" s="3">
        <v>110</v>
      </c>
      <c r="M42" s="3">
        <v>613</v>
      </c>
      <c r="N42" s="3">
        <v>0</v>
      </c>
      <c r="O42" s="3">
        <v>0</v>
      </c>
      <c r="P42" s="3">
        <v>0</v>
      </c>
      <c r="Q42" s="3">
        <v>0</v>
      </c>
      <c r="R42" s="3">
        <v>0</v>
      </c>
      <c r="S42" s="3">
        <v>77</v>
      </c>
      <c r="T42" s="3">
        <v>2</v>
      </c>
      <c r="U42" s="3">
        <v>1</v>
      </c>
      <c r="V42" s="6">
        <f t="shared" si="1"/>
        <v>5891</v>
      </c>
    </row>
    <row r="43" spans="1:22" ht="12.75">
      <c r="A43" t="s">
        <v>746</v>
      </c>
      <c r="B43" s="3">
        <v>10</v>
      </c>
      <c r="C43" s="3">
        <v>0</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6">
        <f t="shared" si="1"/>
        <v>10</v>
      </c>
    </row>
    <row r="44" spans="1:22" ht="12.75">
      <c r="A44" t="s">
        <v>564</v>
      </c>
      <c r="B44" s="3">
        <v>0</v>
      </c>
      <c r="C44" s="3">
        <v>17</v>
      </c>
      <c r="D44" s="3">
        <v>0</v>
      </c>
      <c r="E44" s="3">
        <v>0</v>
      </c>
      <c r="F44" s="3">
        <v>0</v>
      </c>
      <c r="G44" s="3">
        <v>0</v>
      </c>
      <c r="H44" s="3">
        <v>0</v>
      </c>
      <c r="I44" s="3">
        <v>0</v>
      </c>
      <c r="J44" s="3">
        <v>0</v>
      </c>
      <c r="K44" s="3">
        <v>0</v>
      </c>
      <c r="L44" s="3">
        <v>0</v>
      </c>
      <c r="M44" s="3">
        <v>6</v>
      </c>
      <c r="N44" s="3">
        <v>0</v>
      </c>
      <c r="O44" s="3">
        <v>0</v>
      </c>
      <c r="P44" s="3">
        <v>0</v>
      </c>
      <c r="Q44" s="3">
        <v>0</v>
      </c>
      <c r="R44" s="3">
        <v>0</v>
      </c>
      <c r="S44" s="3">
        <v>0</v>
      </c>
      <c r="T44" s="3">
        <v>0</v>
      </c>
      <c r="U44" s="3">
        <v>0</v>
      </c>
      <c r="V44" s="6">
        <f t="shared" si="1"/>
        <v>23</v>
      </c>
    </row>
    <row r="45" spans="1:22" ht="12.75">
      <c r="A45" t="s">
        <v>565</v>
      </c>
      <c r="B45" s="3">
        <v>21</v>
      </c>
      <c r="C45" s="3">
        <v>0</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6">
        <f t="shared" si="1"/>
        <v>21</v>
      </c>
    </row>
    <row r="46" spans="1:22" ht="12.75">
      <c r="A46" t="s">
        <v>566</v>
      </c>
      <c r="B46" s="3">
        <v>23</v>
      </c>
      <c r="C46" s="3">
        <v>20</v>
      </c>
      <c r="D46" s="3">
        <v>0</v>
      </c>
      <c r="E46" s="3">
        <v>5</v>
      </c>
      <c r="F46" s="3">
        <v>0</v>
      </c>
      <c r="G46" s="3">
        <v>0</v>
      </c>
      <c r="H46" s="3">
        <v>0</v>
      </c>
      <c r="I46" s="3">
        <v>0</v>
      </c>
      <c r="J46" s="3">
        <v>0</v>
      </c>
      <c r="K46" s="3">
        <v>0</v>
      </c>
      <c r="L46" s="3">
        <v>0</v>
      </c>
      <c r="M46" s="3">
        <v>0</v>
      </c>
      <c r="N46" s="3">
        <v>0</v>
      </c>
      <c r="O46" s="3">
        <v>0</v>
      </c>
      <c r="P46" s="3">
        <v>0</v>
      </c>
      <c r="Q46" s="3">
        <v>0</v>
      </c>
      <c r="R46" s="3">
        <v>0</v>
      </c>
      <c r="S46" s="3">
        <v>0</v>
      </c>
      <c r="T46" s="3">
        <v>0</v>
      </c>
      <c r="U46" s="3">
        <v>0</v>
      </c>
      <c r="V46" s="6">
        <f t="shared" si="1"/>
        <v>48</v>
      </c>
    </row>
    <row r="47" spans="1:22" ht="12.75">
      <c r="A47" t="s">
        <v>567</v>
      </c>
      <c r="B47" s="3">
        <v>17</v>
      </c>
      <c r="C47" s="3">
        <v>0</v>
      </c>
      <c r="D47" s="3">
        <v>0</v>
      </c>
      <c r="E47" s="3">
        <v>0</v>
      </c>
      <c r="F47" s="3">
        <v>0</v>
      </c>
      <c r="G47" s="3">
        <v>0</v>
      </c>
      <c r="H47" s="3">
        <v>16</v>
      </c>
      <c r="I47" s="3">
        <v>0</v>
      </c>
      <c r="J47" s="3">
        <v>0</v>
      </c>
      <c r="K47" s="3">
        <v>0</v>
      </c>
      <c r="L47" s="3">
        <v>8</v>
      </c>
      <c r="M47" s="3">
        <v>0</v>
      </c>
      <c r="N47" s="3">
        <v>0</v>
      </c>
      <c r="O47" s="3">
        <v>0</v>
      </c>
      <c r="P47" s="3">
        <v>0</v>
      </c>
      <c r="Q47" s="3">
        <v>0</v>
      </c>
      <c r="R47" s="3">
        <v>0</v>
      </c>
      <c r="S47" s="3">
        <v>0</v>
      </c>
      <c r="T47" s="3">
        <v>0</v>
      </c>
      <c r="U47" s="3">
        <v>0</v>
      </c>
      <c r="V47" s="6">
        <f t="shared" si="1"/>
        <v>41</v>
      </c>
    </row>
    <row r="48" spans="1:22" ht="12.75">
      <c r="A48" t="s">
        <v>568</v>
      </c>
      <c r="B48" s="3">
        <v>0</v>
      </c>
      <c r="C48" s="3">
        <v>42</v>
      </c>
      <c r="D48" s="3">
        <v>0</v>
      </c>
      <c r="E48" s="3">
        <v>4</v>
      </c>
      <c r="F48" s="3">
        <v>0</v>
      </c>
      <c r="G48" s="3">
        <v>0</v>
      </c>
      <c r="H48" s="3">
        <v>0</v>
      </c>
      <c r="I48" s="3">
        <v>0</v>
      </c>
      <c r="J48" s="3">
        <v>0</v>
      </c>
      <c r="K48" s="3">
        <v>0</v>
      </c>
      <c r="L48" s="3">
        <v>0</v>
      </c>
      <c r="M48" s="3">
        <v>9</v>
      </c>
      <c r="N48" s="3">
        <v>0</v>
      </c>
      <c r="O48" s="3">
        <v>0</v>
      </c>
      <c r="P48" s="3">
        <v>0</v>
      </c>
      <c r="Q48" s="3">
        <v>0</v>
      </c>
      <c r="R48" s="3">
        <v>0</v>
      </c>
      <c r="S48" s="3">
        <v>0</v>
      </c>
      <c r="T48" s="3">
        <v>0</v>
      </c>
      <c r="U48" s="3">
        <v>4</v>
      </c>
      <c r="V48" s="6">
        <f t="shared" si="1"/>
        <v>59</v>
      </c>
    </row>
    <row r="49" spans="1:22" ht="12.75">
      <c r="A49" t="s">
        <v>569</v>
      </c>
      <c r="B49" s="3">
        <v>0</v>
      </c>
      <c r="C49" s="3">
        <v>9</v>
      </c>
      <c r="D49" s="3">
        <v>0</v>
      </c>
      <c r="E49" s="3">
        <v>0</v>
      </c>
      <c r="F49" s="3">
        <v>0</v>
      </c>
      <c r="G49" s="3">
        <v>0</v>
      </c>
      <c r="H49" s="3">
        <v>0</v>
      </c>
      <c r="I49" s="3">
        <v>6</v>
      </c>
      <c r="J49" s="3">
        <v>0</v>
      </c>
      <c r="K49" s="3">
        <v>0</v>
      </c>
      <c r="L49" s="3">
        <v>0</v>
      </c>
      <c r="M49" s="3">
        <v>4</v>
      </c>
      <c r="N49" s="3">
        <v>0</v>
      </c>
      <c r="O49" s="3">
        <v>0</v>
      </c>
      <c r="P49" s="3">
        <v>0</v>
      </c>
      <c r="Q49" s="3">
        <v>0</v>
      </c>
      <c r="R49" s="3">
        <v>0</v>
      </c>
      <c r="S49" s="3">
        <v>0</v>
      </c>
      <c r="T49" s="3">
        <v>0</v>
      </c>
      <c r="U49" s="3">
        <v>0</v>
      </c>
      <c r="V49" s="6">
        <f t="shared" si="1"/>
        <v>19</v>
      </c>
    </row>
    <row r="50" spans="1:22" ht="12.75">
      <c r="A50" t="s">
        <v>570</v>
      </c>
      <c r="B50" s="3">
        <v>0</v>
      </c>
      <c r="C50" s="3">
        <v>138</v>
      </c>
      <c r="D50" s="3">
        <v>0</v>
      </c>
      <c r="E50" s="3">
        <v>256</v>
      </c>
      <c r="F50" s="3">
        <v>0</v>
      </c>
      <c r="G50" s="3">
        <v>0</v>
      </c>
      <c r="H50" s="3">
        <v>0</v>
      </c>
      <c r="I50" s="3">
        <v>37</v>
      </c>
      <c r="J50" s="3">
        <v>0</v>
      </c>
      <c r="K50" s="3">
        <v>0</v>
      </c>
      <c r="L50" s="3">
        <v>0</v>
      </c>
      <c r="M50" s="3">
        <v>61</v>
      </c>
      <c r="N50" s="3">
        <v>0</v>
      </c>
      <c r="O50" s="3">
        <v>0</v>
      </c>
      <c r="P50" s="3">
        <v>0</v>
      </c>
      <c r="Q50" s="3">
        <v>0</v>
      </c>
      <c r="R50" s="3">
        <v>0</v>
      </c>
      <c r="S50" s="3">
        <v>0</v>
      </c>
      <c r="T50" s="3">
        <v>0</v>
      </c>
      <c r="U50" s="3">
        <v>0</v>
      </c>
      <c r="V50" s="6">
        <f t="shared" si="1"/>
        <v>492</v>
      </c>
    </row>
    <row r="51" spans="1:22" ht="12.75">
      <c r="A51" t="s">
        <v>571</v>
      </c>
      <c r="B51" s="3">
        <v>58</v>
      </c>
      <c r="C51" s="3">
        <v>552</v>
      </c>
      <c r="D51" s="3">
        <v>86</v>
      </c>
      <c r="E51" s="3">
        <v>668</v>
      </c>
      <c r="F51" s="3">
        <v>0</v>
      </c>
      <c r="G51" s="3">
        <v>25</v>
      </c>
      <c r="H51" s="3">
        <v>0</v>
      </c>
      <c r="I51" s="3">
        <v>35</v>
      </c>
      <c r="J51" s="3">
        <v>0</v>
      </c>
      <c r="K51" s="3">
        <v>0</v>
      </c>
      <c r="L51" s="3">
        <v>2</v>
      </c>
      <c r="M51" s="3">
        <v>90</v>
      </c>
      <c r="N51" s="3">
        <v>0</v>
      </c>
      <c r="O51" s="3">
        <v>0</v>
      </c>
      <c r="P51" s="3">
        <v>0</v>
      </c>
      <c r="Q51" s="3">
        <v>0</v>
      </c>
      <c r="R51" s="3">
        <v>0</v>
      </c>
      <c r="S51" s="3">
        <v>3</v>
      </c>
      <c r="T51" s="3">
        <v>0</v>
      </c>
      <c r="U51" s="3">
        <v>0</v>
      </c>
      <c r="V51" s="6">
        <f t="shared" si="1"/>
        <v>1519</v>
      </c>
    </row>
    <row r="52" spans="1:22" ht="12.75">
      <c r="A52" t="s">
        <v>572</v>
      </c>
      <c r="B52" s="3">
        <v>114</v>
      </c>
      <c r="C52" s="3">
        <v>0</v>
      </c>
      <c r="D52" s="3">
        <v>10</v>
      </c>
      <c r="E52" s="3">
        <v>0</v>
      </c>
      <c r="F52" s="3">
        <v>0</v>
      </c>
      <c r="G52" s="3">
        <v>0</v>
      </c>
      <c r="H52" s="3">
        <v>0</v>
      </c>
      <c r="I52" s="3">
        <v>0</v>
      </c>
      <c r="J52" s="3">
        <v>0</v>
      </c>
      <c r="K52" s="3">
        <v>0</v>
      </c>
      <c r="L52" s="3">
        <v>2</v>
      </c>
      <c r="M52" s="3">
        <v>0</v>
      </c>
      <c r="N52" s="3">
        <v>0</v>
      </c>
      <c r="O52" s="3">
        <v>0</v>
      </c>
      <c r="P52" s="3">
        <v>0</v>
      </c>
      <c r="Q52" s="3">
        <v>0</v>
      </c>
      <c r="R52" s="3">
        <v>0</v>
      </c>
      <c r="S52" s="3">
        <v>0</v>
      </c>
      <c r="T52" s="3">
        <v>0</v>
      </c>
      <c r="U52" s="3">
        <v>0</v>
      </c>
      <c r="V52" s="6">
        <f t="shared" si="1"/>
        <v>126</v>
      </c>
    </row>
    <row r="53" spans="1:22" ht="12.75">
      <c r="A53" t="s">
        <v>573</v>
      </c>
      <c r="B53" s="3">
        <v>169</v>
      </c>
      <c r="C53" s="3">
        <v>78</v>
      </c>
      <c r="D53" s="3">
        <v>27</v>
      </c>
      <c r="E53" s="3">
        <v>2</v>
      </c>
      <c r="F53" s="3">
        <v>0</v>
      </c>
      <c r="G53" s="3">
        <v>0</v>
      </c>
      <c r="H53" s="3">
        <v>0</v>
      </c>
      <c r="I53" s="3">
        <v>0</v>
      </c>
      <c r="J53" s="3">
        <v>0</v>
      </c>
      <c r="K53" s="3">
        <v>100</v>
      </c>
      <c r="L53" s="3">
        <v>56</v>
      </c>
      <c r="M53" s="3">
        <v>16</v>
      </c>
      <c r="N53" s="3">
        <v>0</v>
      </c>
      <c r="O53" s="3">
        <v>0</v>
      </c>
      <c r="P53" s="3">
        <v>0</v>
      </c>
      <c r="Q53" s="3">
        <v>0</v>
      </c>
      <c r="R53" s="3">
        <v>0</v>
      </c>
      <c r="S53" s="3">
        <v>0</v>
      </c>
      <c r="T53" s="3">
        <v>0</v>
      </c>
      <c r="U53" s="3">
        <v>0</v>
      </c>
      <c r="V53" s="6">
        <f t="shared" si="1"/>
        <v>448</v>
      </c>
    </row>
    <row r="54" spans="1:22" ht="12.75">
      <c r="A54" t="s">
        <v>574</v>
      </c>
      <c r="B54" s="3">
        <v>238</v>
      </c>
      <c r="C54" s="3">
        <v>80</v>
      </c>
      <c r="D54" s="3">
        <v>69</v>
      </c>
      <c r="E54" s="3">
        <v>54</v>
      </c>
      <c r="F54" s="3">
        <v>73</v>
      </c>
      <c r="G54" s="3">
        <v>0</v>
      </c>
      <c r="H54" s="3">
        <v>30</v>
      </c>
      <c r="I54" s="3">
        <v>0</v>
      </c>
      <c r="J54" s="3">
        <v>0</v>
      </c>
      <c r="K54" s="3">
        <v>532</v>
      </c>
      <c r="L54" s="3">
        <v>91</v>
      </c>
      <c r="M54" s="3">
        <v>17</v>
      </c>
      <c r="N54" s="3">
        <v>0</v>
      </c>
      <c r="O54" s="3">
        <v>0</v>
      </c>
      <c r="P54" s="3">
        <v>0</v>
      </c>
      <c r="Q54" s="3">
        <v>0</v>
      </c>
      <c r="R54" s="3">
        <v>0</v>
      </c>
      <c r="S54" s="3">
        <v>0</v>
      </c>
      <c r="T54" s="3">
        <v>0</v>
      </c>
      <c r="U54" s="3">
        <v>0</v>
      </c>
      <c r="V54" s="6">
        <f t="shared" si="1"/>
        <v>1184</v>
      </c>
    </row>
    <row r="55" spans="1:22" ht="12.75">
      <c r="A55" t="s">
        <v>575</v>
      </c>
      <c r="B55" s="3">
        <v>67</v>
      </c>
      <c r="C55" s="3">
        <v>56</v>
      </c>
      <c r="D55" s="3">
        <v>13</v>
      </c>
      <c r="E55" s="3">
        <v>84</v>
      </c>
      <c r="F55" s="3">
        <v>0</v>
      </c>
      <c r="G55" s="3">
        <v>0</v>
      </c>
      <c r="H55" s="3">
        <v>45</v>
      </c>
      <c r="I55" s="3">
        <v>36</v>
      </c>
      <c r="J55" s="3">
        <v>12</v>
      </c>
      <c r="K55" s="3">
        <v>0</v>
      </c>
      <c r="L55" s="3">
        <v>13</v>
      </c>
      <c r="M55" s="3">
        <v>13</v>
      </c>
      <c r="N55" s="3">
        <v>0</v>
      </c>
      <c r="O55" s="3">
        <v>0</v>
      </c>
      <c r="P55" s="3">
        <v>0</v>
      </c>
      <c r="Q55" s="3">
        <v>0</v>
      </c>
      <c r="R55" s="3">
        <v>0</v>
      </c>
      <c r="S55" s="3">
        <v>0</v>
      </c>
      <c r="T55" s="3">
        <v>0</v>
      </c>
      <c r="U55" s="3">
        <v>0</v>
      </c>
      <c r="V55" s="6">
        <f t="shared" si="1"/>
        <v>339</v>
      </c>
    </row>
    <row r="56" spans="1:22" ht="12.75">
      <c r="A56" t="s">
        <v>576</v>
      </c>
      <c r="B56" s="3">
        <v>132</v>
      </c>
      <c r="C56" s="3">
        <v>0</v>
      </c>
      <c r="D56" s="3">
        <v>24</v>
      </c>
      <c r="E56" s="3">
        <v>0</v>
      </c>
      <c r="F56" s="3">
        <v>0</v>
      </c>
      <c r="G56" s="3">
        <v>0</v>
      </c>
      <c r="H56" s="3">
        <v>36</v>
      </c>
      <c r="I56" s="3">
        <v>0</v>
      </c>
      <c r="J56" s="3">
        <v>0</v>
      </c>
      <c r="K56" s="3">
        <v>0</v>
      </c>
      <c r="L56" s="3">
        <v>20</v>
      </c>
      <c r="M56" s="3">
        <v>0</v>
      </c>
      <c r="N56" s="3">
        <v>0</v>
      </c>
      <c r="O56" s="3">
        <v>0</v>
      </c>
      <c r="P56" s="3">
        <v>0</v>
      </c>
      <c r="Q56" s="3">
        <v>0</v>
      </c>
      <c r="R56" s="3">
        <v>0</v>
      </c>
      <c r="S56" s="3">
        <v>0</v>
      </c>
      <c r="T56" s="3">
        <v>0</v>
      </c>
      <c r="U56" s="3">
        <v>0</v>
      </c>
      <c r="V56" s="6">
        <f t="shared" si="1"/>
        <v>212</v>
      </c>
    </row>
    <row r="57" spans="1:22" ht="12.75">
      <c r="A57" t="s">
        <v>577</v>
      </c>
      <c r="B57" s="3">
        <v>60</v>
      </c>
      <c r="C57" s="3">
        <v>45</v>
      </c>
      <c r="D57" s="3">
        <v>17</v>
      </c>
      <c r="E57" s="3">
        <v>10</v>
      </c>
      <c r="F57" s="3">
        <v>0</v>
      </c>
      <c r="G57" s="3">
        <v>0</v>
      </c>
      <c r="H57" s="3">
        <v>0</v>
      </c>
      <c r="I57" s="3">
        <v>0</v>
      </c>
      <c r="J57" s="3">
        <v>0</v>
      </c>
      <c r="K57" s="3">
        <v>0</v>
      </c>
      <c r="L57" s="3">
        <v>2</v>
      </c>
      <c r="M57" s="3">
        <v>6</v>
      </c>
      <c r="N57" s="3">
        <v>0</v>
      </c>
      <c r="O57" s="3">
        <v>0</v>
      </c>
      <c r="P57" s="3">
        <v>0</v>
      </c>
      <c r="Q57" s="3">
        <v>0</v>
      </c>
      <c r="R57" s="3">
        <v>0</v>
      </c>
      <c r="S57" s="3">
        <v>0</v>
      </c>
      <c r="T57" s="3">
        <v>0</v>
      </c>
      <c r="U57" s="3">
        <v>0</v>
      </c>
      <c r="V57" s="6">
        <f t="shared" si="1"/>
        <v>140</v>
      </c>
    </row>
    <row r="58" spans="1:22" ht="12.75">
      <c r="A58" t="s">
        <v>578</v>
      </c>
      <c r="B58" s="3">
        <v>150</v>
      </c>
      <c r="C58" s="3">
        <v>400</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6">
        <f t="shared" si="1"/>
        <v>550</v>
      </c>
    </row>
    <row r="59" spans="1:22" ht="12.75">
      <c r="A59" t="s">
        <v>579</v>
      </c>
      <c r="B59" s="3">
        <v>1034</v>
      </c>
      <c r="C59" s="3">
        <v>936</v>
      </c>
      <c r="D59" s="3">
        <v>640</v>
      </c>
      <c r="E59" s="3">
        <v>746</v>
      </c>
      <c r="F59" s="3">
        <v>0</v>
      </c>
      <c r="G59" s="3">
        <v>0</v>
      </c>
      <c r="H59" s="3">
        <v>580</v>
      </c>
      <c r="I59" s="3">
        <v>333</v>
      </c>
      <c r="J59" s="3">
        <v>0</v>
      </c>
      <c r="K59" s="3">
        <v>0</v>
      </c>
      <c r="L59" s="3">
        <v>89</v>
      </c>
      <c r="M59" s="3">
        <v>112</v>
      </c>
      <c r="N59" s="3">
        <v>0</v>
      </c>
      <c r="O59" s="3">
        <v>0</v>
      </c>
      <c r="P59" s="3">
        <v>0</v>
      </c>
      <c r="Q59" s="3">
        <v>0</v>
      </c>
      <c r="R59" s="3">
        <v>0</v>
      </c>
      <c r="S59" s="3">
        <v>3</v>
      </c>
      <c r="T59" s="3">
        <v>0</v>
      </c>
      <c r="U59" s="3">
        <v>0</v>
      </c>
      <c r="V59" s="6">
        <f t="shared" si="1"/>
        <v>4473</v>
      </c>
    </row>
    <row r="60" spans="1:22" ht="12.75">
      <c r="A60" t="s">
        <v>580</v>
      </c>
      <c r="B60" s="3">
        <v>34</v>
      </c>
      <c r="C60" s="3">
        <v>0</v>
      </c>
      <c r="D60" s="3">
        <v>1</v>
      </c>
      <c r="E60" s="3">
        <v>0</v>
      </c>
      <c r="F60" s="3">
        <v>0</v>
      </c>
      <c r="G60" s="3">
        <v>0</v>
      </c>
      <c r="H60" s="3">
        <v>0</v>
      </c>
      <c r="I60" s="3">
        <v>0</v>
      </c>
      <c r="J60" s="3">
        <v>0</v>
      </c>
      <c r="K60" s="3">
        <v>0</v>
      </c>
      <c r="L60" s="3">
        <v>5</v>
      </c>
      <c r="M60" s="3">
        <v>0</v>
      </c>
      <c r="N60" s="3">
        <v>0</v>
      </c>
      <c r="O60" s="3">
        <v>0</v>
      </c>
      <c r="P60" s="3">
        <v>0</v>
      </c>
      <c r="Q60" s="3">
        <v>0</v>
      </c>
      <c r="R60" s="3">
        <v>0</v>
      </c>
      <c r="S60" s="3">
        <v>0</v>
      </c>
      <c r="T60" s="3">
        <v>0</v>
      </c>
      <c r="U60" s="3">
        <v>0</v>
      </c>
      <c r="V60" s="6">
        <f t="shared" si="1"/>
        <v>40</v>
      </c>
    </row>
    <row r="61" spans="1:22" ht="12.75">
      <c r="A61" t="s">
        <v>581</v>
      </c>
      <c r="B61" s="3">
        <v>515</v>
      </c>
      <c r="C61" s="3">
        <v>2498</v>
      </c>
      <c r="D61" s="3">
        <v>698</v>
      </c>
      <c r="E61" s="3">
        <v>2652</v>
      </c>
      <c r="F61" s="3">
        <v>0</v>
      </c>
      <c r="G61" s="3">
        <v>0</v>
      </c>
      <c r="H61" s="3">
        <v>122</v>
      </c>
      <c r="I61" s="3">
        <v>620</v>
      </c>
      <c r="J61" s="3">
        <v>0</v>
      </c>
      <c r="K61" s="3">
        <v>0</v>
      </c>
      <c r="L61" s="3">
        <v>134</v>
      </c>
      <c r="M61" s="3">
        <v>613</v>
      </c>
      <c r="N61" s="3">
        <v>0</v>
      </c>
      <c r="O61" s="3">
        <v>0</v>
      </c>
      <c r="P61" s="3">
        <v>0</v>
      </c>
      <c r="Q61" s="3">
        <v>0</v>
      </c>
      <c r="R61" s="3">
        <v>0</v>
      </c>
      <c r="S61" s="3">
        <v>204</v>
      </c>
      <c r="T61" s="3">
        <v>0</v>
      </c>
      <c r="U61" s="3">
        <v>0</v>
      </c>
      <c r="V61" s="6">
        <f t="shared" si="1"/>
        <v>8056</v>
      </c>
    </row>
    <row r="62" spans="1:22" ht="12.75">
      <c r="A62" t="s">
        <v>582</v>
      </c>
      <c r="B62" s="3">
        <v>32</v>
      </c>
      <c r="C62" s="3">
        <v>0</v>
      </c>
      <c r="D62" s="3">
        <v>2</v>
      </c>
      <c r="E62" s="3">
        <v>0</v>
      </c>
      <c r="F62" s="3">
        <v>0</v>
      </c>
      <c r="G62" s="3">
        <v>0</v>
      </c>
      <c r="H62" s="3">
        <v>0</v>
      </c>
      <c r="I62" s="3">
        <v>0</v>
      </c>
      <c r="J62" s="3">
        <v>0</v>
      </c>
      <c r="K62" s="3">
        <v>0</v>
      </c>
      <c r="L62" s="3">
        <v>0</v>
      </c>
      <c r="M62" s="3">
        <v>0</v>
      </c>
      <c r="N62" s="3">
        <v>0</v>
      </c>
      <c r="O62" s="3">
        <v>0</v>
      </c>
      <c r="P62" s="3">
        <v>0</v>
      </c>
      <c r="Q62" s="3">
        <v>0</v>
      </c>
      <c r="R62" s="3">
        <v>0</v>
      </c>
      <c r="S62" s="3">
        <v>0</v>
      </c>
      <c r="T62" s="3">
        <v>0</v>
      </c>
      <c r="U62" s="3">
        <v>0</v>
      </c>
      <c r="V62" s="6">
        <f t="shared" si="1"/>
        <v>34</v>
      </c>
    </row>
    <row r="63" spans="1:22" ht="12.75">
      <c r="A63" t="s">
        <v>583</v>
      </c>
      <c r="B63" s="3">
        <v>33</v>
      </c>
      <c r="C63" s="3">
        <v>179</v>
      </c>
      <c r="D63" s="3">
        <v>2</v>
      </c>
      <c r="E63" s="3">
        <v>13</v>
      </c>
      <c r="F63" s="3">
        <v>0</v>
      </c>
      <c r="G63" s="3">
        <v>0</v>
      </c>
      <c r="H63" s="3">
        <v>0</v>
      </c>
      <c r="I63" s="3">
        <v>3</v>
      </c>
      <c r="J63" s="3">
        <v>0</v>
      </c>
      <c r="K63" s="3">
        <v>0</v>
      </c>
      <c r="L63" s="3">
        <v>0</v>
      </c>
      <c r="M63" s="3">
        <v>30</v>
      </c>
      <c r="N63" s="3">
        <v>0</v>
      </c>
      <c r="O63" s="3">
        <v>0</v>
      </c>
      <c r="P63" s="3">
        <v>0</v>
      </c>
      <c r="Q63" s="3">
        <v>0</v>
      </c>
      <c r="R63" s="3">
        <v>0</v>
      </c>
      <c r="S63" s="3">
        <v>0</v>
      </c>
      <c r="T63" s="3">
        <v>0</v>
      </c>
      <c r="U63" s="3">
        <v>1</v>
      </c>
      <c r="V63" s="6">
        <f t="shared" si="1"/>
        <v>261</v>
      </c>
    </row>
    <row r="64" spans="1:22" ht="12.75">
      <c r="A64" t="s">
        <v>584</v>
      </c>
      <c r="B64" s="3">
        <v>27</v>
      </c>
      <c r="C64" s="3">
        <v>38</v>
      </c>
      <c r="D64" s="3">
        <v>0</v>
      </c>
      <c r="E64" s="3">
        <v>11</v>
      </c>
      <c r="F64" s="3">
        <v>0</v>
      </c>
      <c r="G64" s="3">
        <v>0</v>
      </c>
      <c r="H64" s="3">
        <v>0</v>
      </c>
      <c r="I64" s="3">
        <v>0</v>
      </c>
      <c r="J64" s="3">
        <v>0</v>
      </c>
      <c r="K64" s="3">
        <v>0</v>
      </c>
      <c r="L64" s="3">
        <v>17</v>
      </c>
      <c r="M64" s="3">
        <v>11</v>
      </c>
      <c r="N64" s="3">
        <v>0</v>
      </c>
      <c r="O64" s="3">
        <v>0</v>
      </c>
      <c r="P64" s="3">
        <v>0</v>
      </c>
      <c r="Q64" s="3">
        <v>0</v>
      </c>
      <c r="R64" s="3">
        <v>0</v>
      </c>
      <c r="S64" s="3">
        <v>0</v>
      </c>
      <c r="T64" s="3">
        <v>0</v>
      </c>
      <c r="U64" s="3">
        <v>1</v>
      </c>
      <c r="V64" s="6">
        <f t="shared" si="1"/>
        <v>105</v>
      </c>
    </row>
    <row r="65" spans="1:22" ht="12.75">
      <c r="A65" t="s">
        <v>585</v>
      </c>
      <c r="B65" s="3">
        <v>618</v>
      </c>
      <c r="C65" s="3">
        <v>1163</v>
      </c>
      <c r="D65" s="3">
        <v>134</v>
      </c>
      <c r="E65" s="3">
        <v>691</v>
      </c>
      <c r="F65" s="3">
        <v>0</v>
      </c>
      <c r="G65" s="3">
        <v>0</v>
      </c>
      <c r="H65" s="3">
        <v>103</v>
      </c>
      <c r="I65" s="3">
        <v>333</v>
      </c>
      <c r="J65" s="3">
        <v>10</v>
      </c>
      <c r="K65" s="3">
        <v>338</v>
      </c>
      <c r="L65" s="3">
        <v>123</v>
      </c>
      <c r="M65" s="3">
        <v>801</v>
      </c>
      <c r="N65" s="3">
        <v>0</v>
      </c>
      <c r="O65" s="3">
        <v>0</v>
      </c>
      <c r="P65" s="3">
        <v>0</v>
      </c>
      <c r="Q65" s="3">
        <v>0</v>
      </c>
      <c r="R65" s="3">
        <v>17</v>
      </c>
      <c r="S65" s="3">
        <v>40</v>
      </c>
      <c r="T65" s="3">
        <v>0</v>
      </c>
      <c r="U65" s="3">
        <v>0</v>
      </c>
      <c r="V65" s="6">
        <f t="shared" si="1"/>
        <v>4371</v>
      </c>
    </row>
    <row r="66" spans="1:22" ht="12.75">
      <c r="A66" t="s">
        <v>586</v>
      </c>
      <c r="B66" s="3">
        <v>1521</v>
      </c>
      <c r="C66" s="3">
        <v>2500</v>
      </c>
      <c r="D66" s="3">
        <v>630</v>
      </c>
      <c r="E66" s="3">
        <v>1988</v>
      </c>
      <c r="F66" s="3">
        <v>730</v>
      </c>
      <c r="G66" s="3">
        <v>38</v>
      </c>
      <c r="H66" s="3">
        <v>213</v>
      </c>
      <c r="I66" s="3">
        <v>567</v>
      </c>
      <c r="J66" s="3">
        <v>44</v>
      </c>
      <c r="K66" s="3">
        <v>80</v>
      </c>
      <c r="L66" s="3">
        <v>251</v>
      </c>
      <c r="M66" s="3">
        <v>810</v>
      </c>
      <c r="N66" s="3">
        <v>0</v>
      </c>
      <c r="O66" s="3">
        <v>0</v>
      </c>
      <c r="P66" s="3">
        <v>0</v>
      </c>
      <c r="Q66" s="3">
        <v>0</v>
      </c>
      <c r="R66" s="3">
        <v>0</v>
      </c>
      <c r="S66" s="3">
        <v>475</v>
      </c>
      <c r="T66" s="3">
        <v>0</v>
      </c>
      <c r="U66" s="3">
        <v>0</v>
      </c>
      <c r="V66" s="6">
        <f t="shared" si="1"/>
        <v>9847</v>
      </c>
    </row>
    <row r="67" spans="1:22" ht="12.75">
      <c r="A67" t="s">
        <v>587</v>
      </c>
      <c r="B67" s="3">
        <v>38</v>
      </c>
      <c r="C67" s="3">
        <v>51</v>
      </c>
      <c r="D67" s="3">
        <v>10</v>
      </c>
      <c r="E67" s="3">
        <v>2</v>
      </c>
      <c r="F67" s="3">
        <v>0</v>
      </c>
      <c r="G67" s="3">
        <v>0</v>
      </c>
      <c r="H67" s="3">
        <v>0</v>
      </c>
      <c r="I67" s="3">
        <v>34</v>
      </c>
      <c r="J67" s="3">
        <v>0</v>
      </c>
      <c r="K67" s="3">
        <v>0</v>
      </c>
      <c r="L67" s="3">
        <v>17</v>
      </c>
      <c r="M67" s="3">
        <v>1</v>
      </c>
      <c r="N67" s="3">
        <v>0</v>
      </c>
      <c r="O67" s="3">
        <v>0</v>
      </c>
      <c r="P67" s="3">
        <v>0</v>
      </c>
      <c r="Q67" s="3">
        <v>0</v>
      </c>
      <c r="R67" s="3">
        <v>0</v>
      </c>
      <c r="S67" s="3">
        <v>0</v>
      </c>
      <c r="T67" s="3">
        <v>0</v>
      </c>
      <c r="U67" s="3">
        <v>0</v>
      </c>
      <c r="V67" s="6">
        <f t="shared" si="1"/>
        <v>153</v>
      </c>
    </row>
    <row r="68" spans="1:22" ht="12.75">
      <c r="A68" t="s">
        <v>588</v>
      </c>
      <c r="B68" s="3">
        <v>457</v>
      </c>
      <c r="C68" s="3">
        <v>638</v>
      </c>
      <c r="D68" s="3">
        <v>218</v>
      </c>
      <c r="E68" s="3">
        <v>1197</v>
      </c>
      <c r="F68" s="3">
        <v>0</v>
      </c>
      <c r="G68" s="3">
        <v>0</v>
      </c>
      <c r="H68" s="3">
        <v>187</v>
      </c>
      <c r="I68" s="3">
        <v>237</v>
      </c>
      <c r="J68" s="3">
        <v>0</v>
      </c>
      <c r="K68" s="3">
        <v>0</v>
      </c>
      <c r="L68" s="3">
        <v>27</v>
      </c>
      <c r="M68" s="3">
        <v>139</v>
      </c>
      <c r="N68" s="3">
        <v>0</v>
      </c>
      <c r="O68" s="3">
        <v>0</v>
      </c>
      <c r="P68" s="3">
        <v>0</v>
      </c>
      <c r="Q68" s="3">
        <v>0</v>
      </c>
      <c r="R68" s="3">
        <v>0</v>
      </c>
      <c r="S68" s="3">
        <v>0</v>
      </c>
      <c r="T68" s="3">
        <v>0</v>
      </c>
      <c r="U68" s="3">
        <v>0</v>
      </c>
      <c r="V68" s="6">
        <f t="shared" si="1"/>
        <v>3100</v>
      </c>
    </row>
    <row r="69" spans="1:22" ht="12.75">
      <c r="A69" t="s">
        <v>589</v>
      </c>
      <c r="B69" s="3">
        <v>17</v>
      </c>
      <c r="C69" s="3">
        <v>100</v>
      </c>
      <c r="D69" s="3">
        <v>5</v>
      </c>
      <c r="E69" s="3">
        <v>192</v>
      </c>
      <c r="F69" s="3">
        <v>0</v>
      </c>
      <c r="G69" s="3">
        <v>0</v>
      </c>
      <c r="H69" s="3">
        <v>0</v>
      </c>
      <c r="I69" s="3">
        <v>150</v>
      </c>
      <c r="J69" s="3">
        <v>0</v>
      </c>
      <c r="K69" s="3">
        <v>0</v>
      </c>
      <c r="L69" s="3">
        <v>1</v>
      </c>
      <c r="M69" s="3">
        <v>15</v>
      </c>
      <c r="N69" s="3">
        <v>0</v>
      </c>
      <c r="O69" s="3">
        <v>0</v>
      </c>
      <c r="P69" s="3">
        <v>0</v>
      </c>
      <c r="Q69" s="3">
        <v>0</v>
      </c>
      <c r="R69" s="3">
        <v>0</v>
      </c>
      <c r="S69" s="3">
        <v>0</v>
      </c>
      <c r="T69" s="3">
        <v>0</v>
      </c>
      <c r="U69" s="3">
        <v>0</v>
      </c>
      <c r="V69" s="6">
        <f t="shared" si="1"/>
        <v>480</v>
      </c>
    </row>
    <row r="70" spans="1:22" ht="12.75">
      <c r="A70" s="2" t="s">
        <v>527</v>
      </c>
      <c r="B70" s="6">
        <f aca="true" t="shared" si="2" ref="B70:V70">SUM(B7:B69)</f>
        <v>24368</v>
      </c>
      <c r="C70" s="6">
        <f t="shared" si="2"/>
        <v>47251</v>
      </c>
      <c r="D70" s="6">
        <f t="shared" si="2"/>
        <v>8379</v>
      </c>
      <c r="E70" s="6">
        <f t="shared" si="2"/>
        <v>24818</v>
      </c>
      <c r="F70" s="6">
        <f t="shared" si="2"/>
        <v>1450</v>
      </c>
      <c r="G70" s="6">
        <f t="shared" si="2"/>
        <v>2561</v>
      </c>
      <c r="H70" s="6">
        <f t="shared" si="2"/>
        <v>3354</v>
      </c>
      <c r="I70" s="6">
        <f t="shared" si="2"/>
        <v>9668</v>
      </c>
      <c r="J70" s="6">
        <f t="shared" si="2"/>
        <v>422</v>
      </c>
      <c r="K70" s="6">
        <f t="shared" si="2"/>
        <v>20249</v>
      </c>
      <c r="L70" s="6">
        <f t="shared" si="2"/>
        <v>5298</v>
      </c>
      <c r="M70" s="6">
        <f t="shared" si="2"/>
        <v>11084</v>
      </c>
      <c r="N70" s="6">
        <f t="shared" si="2"/>
        <v>0</v>
      </c>
      <c r="O70" s="6">
        <f t="shared" si="2"/>
        <v>0</v>
      </c>
      <c r="P70" s="6">
        <f t="shared" si="2"/>
        <v>2</v>
      </c>
      <c r="Q70" s="6">
        <f t="shared" si="2"/>
        <v>1</v>
      </c>
      <c r="R70" s="6">
        <f t="shared" si="2"/>
        <v>1112</v>
      </c>
      <c r="S70" s="6">
        <f t="shared" si="2"/>
        <v>4986</v>
      </c>
      <c r="T70" s="6">
        <f t="shared" si="2"/>
        <v>909</v>
      </c>
      <c r="U70" s="6">
        <f t="shared" si="2"/>
        <v>649</v>
      </c>
      <c r="V70" s="6">
        <f t="shared" si="2"/>
        <v>166561</v>
      </c>
    </row>
  </sheetData>
  <sheetProtection/>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K70"/>
  <sheetViews>
    <sheetView zoomScalePageLayoutView="0" workbookViewId="0" topLeftCell="A1">
      <selection activeCell="A1" sqref="A1"/>
    </sheetView>
  </sheetViews>
  <sheetFormatPr defaultColWidth="9.140625" defaultRowHeight="12.75"/>
  <sheetData>
    <row r="1" ht="18">
      <c r="A1" s="1" t="s">
        <v>799</v>
      </c>
    </row>
    <row r="5" spans="1:11" ht="12.75">
      <c r="A5" s="2" t="s">
        <v>522</v>
      </c>
      <c r="B5" s="2" t="s">
        <v>800</v>
      </c>
      <c r="C5" s="2" t="s">
        <v>801</v>
      </c>
      <c r="D5" s="2" t="s">
        <v>802</v>
      </c>
      <c r="E5" s="2" t="s">
        <v>803</v>
      </c>
      <c r="F5" s="2" t="s">
        <v>804</v>
      </c>
      <c r="G5" s="2" t="s">
        <v>805</v>
      </c>
      <c r="H5" s="2" t="s">
        <v>806</v>
      </c>
      <c r="I5" s="2" t="s">
        <v>807</v>
      </c>
      <c r="J5" s="2" t="s">
        <v>808</v>
      </c>
      <c r="K5" s="2" t="s">
        <v>527</v>
      </c>
    </row>
    <row r="6" spans="2:11" ht="12.75">
      <c r="B6" t="s">
        <v>809</v>
      </c>
      <c r="C6" t="s">
        <v>810</v>
      </c>
      <c r="D6" t="s">
        <v>810</v>
      </c>
      <c r="E6" t="s">
        <v>810</v>
      </c>
      <c r="F6" t="s">
        <v>810</v>
      </c>
      <c r="G6" t="s">
        <v>810</v>
      </c>
      <c r="H6" t="s">
        <v>810</v>
      </c>
      <c r="I6" t="s">
        <v>810</v>
      </c>
      <c r="J6" t="s">
        <v>810</v>
      </c>
      <c r="K6" t="s">
        <v>810</v>
      </c>
    </row>
    <row r="7" spans="1:11" ht="12.75">
      <c r="A7" t="s">
        <v>530</v>
      </c>
      <c r="B7" s="7">
        <v>12</v>
      </c>
      <c r="C7" s="3">
        <v>150289</v>
      </c>
      <c r="D7" s="3">
        <v>0</v>
      </c>
      <c r="E7" s="3">
        <v>0</v>
      </c>
      <c r="F7" s="3">
        <v>0</v>
      </c>
      <c r="G7" s="3">
        <v>0</v>
      </c>
      <c r="H7" s="3">
        <v>0</v>
      </c>
      <c r="I7" s="3">
        <v>0</v>
      </c>
      <c r="J7" s="3">
        <v>0</v>
      </c>
      <c r="K7" s="6">
        <f>(C7+D7+E7+F7+G7+H7+I7)-(J7)</f>
        <v>150289</v>
      </c>
    </row>
    <row r="8" spans="1:11" ht="12.75">
      <c r="A8" t="s">
        <v>531</v>
      </c>
      <c r="B8" s="7">
        <v>12</v>
      </c>
      <c r="C8" s="3">
        <v>120231</v>
      </c>
      <c r="D8" s="3">
        <v>0</v>
      </c>
      <c r="E8" s="3">
        <v>0</v>
      </c>
      <c r="F8" s="3">
        <v>0</v>
      </c>
      <c r="G8" s="3">
        <v>0</v>
      </c>
      <c r="H8" s="3">
        <v>0</v>
      </c>
      <c r="I8" s="3">
        <v>0</v>
      </c>
      <c r="J8" s="3">
        <v>0</v>
      </c>
      <c r="K8" s="6">
        <f aca="true" t="shared" si="0" ref="K8:K39">(I8+H8+G8+F8+E8+D8+C8)-(J8)</f>
        <v>120231</v>
      </c>
    </row>
    <row r="9" spans="1:11" ht="12.75">
      <c r="A9" t="s">
        <v>532</v>
      </c>
      <c r="B9" s="7">
        <v>12</v>
      </c>
      <c r="C9" s="3">
        <v>120005</v>
      </c>
      <c r="D9" s="3">
        <v>0</v>
      </c>
      <c r="E9" s="3">
        <v>0</v>
      </c>
      <c r="F9" s="3">
        <v>0</v>
      </c>
      <c r="G9" s="3">
        <v>0</v>
      </c>
      <c r="H9" s="3">
        <v>0</v>
      </c>
      <c r="I9" s="3">
        <v>0</v>
      </c>
      <c r="J9" s="3">
        <v>0</v>
      </c>
      <c r="K9" s="6">
        <f t="shared" si="0"/>
        <v>120005</v>
      </c>
    </row>
    <row r="10" spans="1:11" ht="12.75">
      <c r="A10" t="s">
        <v>533</v>
      </c>
      <c r="B10" s="7">
        <v>364.02</v>
      </c>
      <c r="C10" s="3">
        <v>1267422</v>
      </c>
      <c r="D10" s="3">
        <v>0</v>
      </c>
      <c r="E10" s="3">
        <v>93238</v>
      </c>
      <c r="F10" s="3">
        <v>0</v>
      </c>
      <c r="G10" s="3">
        <v>0</v>
      </c>
      <c r="H10" s="3">
        <v>338123</v>
      </c>
      <c r="I10" s="3">
        <v>5849</v>
      </c>
      <c r="J10" s="3">
        <v>0</v>
      </c>
      <c r="K10" s="6">
        <f t="shared" si="0"/>
        <v>1704632</v>
      </c>
    </row>
    <row r="11" spans="1:11" ht="12.75">
      <c r="A11" t="s">
        <v>534</v>
      </c>
      <c r="B11" s="7">
        <v>23</v>
      </c>
      <c r="C11" s="3">
        <v>80077</v>
      </c>
      <c r="D11" s="3">
        <v>0</v>
      </c>
      <c r="E11" s="3">
        <v>6319</v>
      </c>
      <c r="F11" s="3">
        <v>0</v>
      </c>
      <c r="G11" s="3">
        <v>0</v>
      </c>
      <c r="H11" s="3">
        <v>12667</v>
      </c>
      <c r="I11" s="3">
        <v>0</v>
      </c>
      <c r="J11" s="3">
        <v>0</v>
      </c>
      <c r="K11" s="6">
        <f t="shared" si="0"/>
        <v>99063</v>
      </c>
    </row>
    <row r="12" spans="1:11" ht="12.75">
      <c r="A12" t="s">
        <v>535</v>
      </c>
      <c r="B12" s="7">
        <v>461.87</v>
      </c>
      <c r="C12" s="3">
        <v>1607907</v>
      </c>
      <c r="D12" s="3">
        <v>0</v>
      </c>
      <c r="E12" s="3">
        <v>82760</v>
      </c>
      <c r="F12" s="3">
        <v>0</v>
      </c>
      <c r="G12" s="3">
        <v>0</v>
      </c>
      <c r="H12" s="3">
        <v>260804</v>
      </c>
      <c r="I12" s="3">
        <v>5996</v>
      </c>
      <c r="J12" s="3">
        <v>134</v>
      </c>
      <c r="K12" s="6">
        <f t="shared" si="0"/>
        <v>1957333</v>
      </c>
    </row>
    <row r="13" spans="1:11" ht="12.75">
      <c r="A13" t="s">
        <v>536</v>
      </c>
      <c r="B13" s="7">
        <v>67</v>
      </c>
      <c r="C13" s="3">
        <v>233267</v>
      </c>
      <c r="D13" s="3">
        <v>0</v>
      </c>
      <c r="E13" s="3">
        <v>8549</v>
      </c>
      <c r="F13" s="3">
        <v>0</v>
      </c>
      <c r="G13" s="3">
        <v>0</v>
      </c>
      <c r="H13" s="3">
        <v>31565</v>
      </c>
      <c r="I13" s="3">
        <v>0</v>
      </c>
      <c r="J13" s="3">
        <v>0</v>
      </c>
      <c r="K13" s="6">
        <f t="shared" si="0"/>
        <v>273381</v>
      </c>
    </row>
    <row r="14" spans="1:11" ht="12.75">
      <c r="A14" t="s">
        <v>537</v>
      </c>
      <c r="B14" s="7">
        <v>3733.41</v>
      </c>
      <c r="C14" s="3">
        <v>13056570</v>
      </c>
      <c r="D14" s="3">
        <v>0</v>
      </c>
      <c r="E14" s="3">
        <v>140682</v>
      </c>
      <c r="F14" s="3">
        <v>0</v>
      </c>
      <c r="G14" s="3">
        <v>0</v>
      </c>
      <c r="H14" s="3">
        <v>1780591</v>
      </c>
      <c r="I14" s="3">
        <v>54490</v>
      </c>
      <c r="J14" s="3">
        <v>18107</v>
      </c>
      <c r="K14" s="6">
        <f t="shared" si="0"/>
        <v>15014226</v>
      </c>
    </row>
    <row r="15" spans="1:11" ht="12.75">
      <c r="A15" t="s">
        <v>538</v>
      </c>
      <c r="B15" s="7">
        <v>841.19</v>
      </c>
      <c r="C15" s="3">
        <v>2929900</v>
      </c>
      <c r="D15" s="3">
        <v>0</v>
      </c>
      <c r="E15" s="3">
        <v>12413</v>
      </c>
      <c r="F15" s="3">
        <v>0</v>
      </c>
      <c r="G15" s="3">
        <v>0</v>
      </c>
      <c r="H15" s="3">
        <v>313492</v>
      </c>
      <c r="I15" s="3">
        <v>16444</v>
      </c>
      <c r="J15" s="3">
        <v>4110</v>
      </c>
      <c r="K15" s="6">
        <f t="shared" si="0"/>
        <v>3268139</v>
      </c>
    </row>
    <row r="16" spans="1:11" ht="12.75">
      <c r="A16" t="s">
        <v>744</v>
      </c>
      <c r="B16" s="7">
        <v>6</v>
      </c>
      <c r="C16" s="3">
        <v>20890</v>
      </c>
      <c r="D16" s="3">
        <v>0</v>
      </c>
      <c r="E16" s="3">
        <v>2908</v>
      </c>
      <c r="F16" s="3">
        <v>0</v>
      </c>
      <c r="G16" s="3">
        <v>0</v>
      </c>
      <c r="H16" s="3">
        <v>5543</v>
      </c>
      <c r="I16" s="3">
        <v>0</v>
      </c>
      <c r="J16" s="3">
        <v>0</v>
      </c>
      <c r="K16" s="6">
        <f t="shared" si="0"/>
        <v>29341</v>
      </c>
    </row>
    <row r="17" spans="1:11" ht="12.75">
      <c r="A17" t="s">
        <v>539</v>
      </c>
      <c r="B17" s="7">
        <v>48</v>
      </c>
      <c r="C17" s="3">
        <v>167117</v>
      </c>
      <c r="D17" s="3">
        <v>0</v>
      </c>
      <c r="E17" s="3">
        <v>13218</v>
      </c>
      <c r="F17" s="3">
        <v>0</v>
      </c>
      <c r="G17" s="3">
        <v>0</v>
      </c>
      <c r="H17" s="3">
        <v>29907</v>
      </c>
      <c r="I17" s="3">
        <v>0</v>
      </c>
      <c r="J17" s="3">
        <v>0</v>
      </c>
      <c r="K17" s="6">
        <f t="shared" si="0"/>
        <v>210242</v>
      </c>
    </row>
    <row r="18" spans="1:11" ht="12.75">
      <c r="A18" t="s">
        <v>540</v>
      </c>
      <c r="B18" s="7">
        <v>378</v>
      </c>
      <c r="C18" s="3">
        <v>1316045</v>
      </c>
      <c r="D18" s="3">
        <v>0</v>
      </c>
      <c r="E18" s="3">
        <v>50885</v>
      </c>
      <c r="F18" s="3">
        <v>0</v>
      </c>
      <c r="G18" s="3">
        <v>0</v>
      </c>
      <c r="H18" s="3">
        <v>184345</v>
      </c>
      <c r="I18" s="3">
        <v>0</v>
      </c>
      <c r="J18" s="3">
        <v>0</v>
      </c>
      <c r="K18" s="6">
        <f t="shared" si="0"/>
        <v>1551275</v>
      </c>
    </row>
    <row r="19" spans="1:11" ht="12.75">
      <c r="A19" t="s">
        <v>541</v>
      </c>
      <c r="B19" s="7">
        <v>12</v>
      </c>
      <c r="C19" s="3">
        <v>41779</v>
      </c>
      <c r="D19" s="3">
        <v>0</v>
      </c>
      <c r="E19" s="3">
        <v>0</v>
      </c>
      <c r="F19" s="3">
        <v>0</v>
      </c>
      <c r="G19" s="3">
        <v>0</v>
      </c>
      <c r="H19" s="3">
        <v>9262</v>
      </c>
      <c r="I19" s="3">
        <v>0</v>
      </c>
      <c r="J19" s="3">
        <v>0</v>
      </c>
      <c r="K19" s="6">
        <f t="shared" si="0"/>
        <v>51041</v>
      </c>
    </row>
    <row r="20" spans="1:11" ht="12.75">
      <c r="A20" t="s">
        <v>542</v>
      </c>
      <c r="B20" s="7">
        <v>48</v>
      </c>
      <c r="C20" s="3">
        <v>167117</v>
      </c>
      <c r="D20" s="3">
        <v>0</v>
      </c>
      <c r="E20" s="3">
        <v>0</v>
      </c>
      <c r="F20" s="3">
        <v>0</v>
      </c>
      <c r="G20" s="3">
        <v>0</v>
      </c>
      <c r="H20" s="3">
        <v>24067</v>
      </c>
      <c r="I20" s="3">
        <v>0</v>
      </c>
      <c r="J20" s="3">
        <v>0</v>
      </c>
      <c r="K20" s="6">
        <f t="shared" si="0"/>
        <v>191184</v>
      </c>
    </row>
    <row r="21" spans="1:11" ht="12.75">
      <c r="A21" t="s">
        <v>543</v>
      </c>
      <c r="B21" s="7">
        <v>74.5</v>
      </c>
      <c r="C21" s="3">
        <v>259379</v>
      </c>
      <c r="D21" s="3">
        <v>0</v>
      </c>
      <c r="E21" s="3">
        <v>0</v>
      </c>
      <c r="F21" s="3">
        <v>0</v>
      </c>
      <c r="G21" s="3">
        <v>0</v>
      </c>
      <c r="H21" s="3">
        <v>27267</v>
      </c>
      <c r="I21" s="3">
        <v>0</v>
      </c>
      <c r="J21" s="3">
        <v>0</v>
      </c>
      <c r="K21" s="6">
        <f t="shared" si="0"/>
        <v>286646</v>
      </c>
    </row>
    <row r="22" spans="1:11" ht="12.75">
      <c r="A22" t="s">
        <v>544</v>
      </c>
      <c r="B22" s="7">
        <v>0.55</v>
      </c>
      <c r="C22" s="3">
        <v>1909</v>
      </c>
      <c r="D22" s="3">
        <v>0</v>
      </c>
      <c r="E22" s="3">
        <v>31</v>
      </c>
      <c r="F22" s="3">
        <v>0</v>
      </c>
      <c r="G22" s="3">
        <v>0</v>
      </c>
      <c r="H22" s="3">
        <v>3041</v>
      </c>
      <c r="I22" s="3">
        <v>0</v>
      </c>
      <c r="J22" s="3">
        <v>0</v>
      </c>
      <c r="K22" s="6">
        <f t="shared" si="0"/>
        <v>4981</v>
      </c>
    </row>
    <row r="23" spans="1:11" ht="12.75">
      <c r="A23" t="s">
        <v>545</v>
      </c>
      <c r="B23" s="7">
        <v>179.45</v>
      </c>
      <c r="C23" s="3">
        <v>625314</v>
      </c>
      <c r="D23" s="3">
        <v>0</v>
      </c>
      <c r="E23" s="3">
        <v>1578</v>
      </c>
      <c r="F23" s="3">
        <v>0</v>
      </c>
      <c r="G23" s="3">
        <v>0</v>
      </c>
      <c r="H23" s="3">
        <v>64273</v>
      </c>
      <c r="I23" s="3">
        <v>0</v>
      </c>
      <c r="J23" s="3">
        <v>0</v>
      </c>
      <c r="K23" s="6">
        <f t="shared" si="0"/>
        <v>691165</v>
      </c>
    </row>
    <row r="24" spans="1:11" ht="12.75">
      <c r="A24" t="s">
        <v>546</v>
      </c>
      <c r="B24" s="7">
        <v>12</v>
      </c>
      <c r="C24" s="3">
        <v>41779</v>
      </c>
      <c r="D24" s="3">
        <v>0</v>
      </c>
      <c r="E24" s="3">
        <v>0</v>
      </c>
      <c r="F24" s="3">
        <v>0</v>
      </c>
      <c r="G24" s="3">
        <v>0</v>
      </c>
      <c r="H24" s="3">
        <v>6579</v>
      </c>
      <c r="I24" s="3">
        <v>0</v>
      </c>
      <c r="J24" s="3">
        <v>0</v>
      </c>
      <c r="K24" s="6">
        <f t="shared" si="0"/>
        <v>48358</v>
      </c>
    </row>
    <row r="25" spans="1:11" ht="12.75">
      <c r="A25" t="s">
        <v>547</v>
      </c>
      <c r="B25" s="7">
        <v>48</v>
      </c>
      <c r="C25" s="3">
        <v>167117</v>
      </c>
      <c r="D25" s="3">
        <v>0</v>
      </c>
      <c r="E25" s="3">
        <v>0</v>
      </c>
      <c r="F25" s="3">
        <v>0</v>
      </c>
      <c r="G25" s="3">
        <v>0</v>
      </c>
      <c r="H25" s="3">
        <v>19506</v>
      </c>
      <c r="I25" s="3">
        <v>0</v>
      </c>
      <c r="J25" s="3">
        <v>0</v>
      </c>
      <c r="K25" s="6">
        <f t="shared" si="0"/>
        <v>186623</v>
      </c>
    </row>
    <row r="26" spans="1:11" ht="12.75">
      <c r="A26" t="s">
        <v>745</v>
      </c>
      <c r="B26" s="7">
        <v>1</v>
      </c>
      <c r="C26" s="3">
        <v>3484</v>
      </c>
      <c r="D26" s="3">
        <v>0</v>
      </c>
      <c r="E26" s="3">
        <v>0</v>
      </c>
      <c r="F26" s="3">
        <v>0</v>
      </c>
      <c r="G26" s="3">
        <v>0</v>
      </c>
      <c r="H26" s="3">
        <v>0</v>
      </c>
      <c r="I26" s="3">
        <v>0</v>
      </c>
      <c r="J26" s="3">
        <v>0</v>
      </c>
      <c r="K26" s="6">
        <f t="shared" si="0"/>
        <v>3484</v>
      </c>
    </row>
    <row r="27" spans="1:11" ht="12.75">
      <c r="A27" t="s">
        <v>548</v>
      </c>
      <c r="B27" s="7">
        <v>496.09</v>
      </c>
      <c r="C27" s="3">
        <v>1716853</v>
      </c>
      <c r="D27" s="3">
        <v>0</v>
      </c>
      <c r="E27" s="3">
        <v>4814</v>
      </c>
      <c r="F27" s="3">
        <v>0</v>
      </c>
      <c r="G27" s="3">
        <v>0</v>
      </c>
      <c r="H27" s="3">
        <v>213331</v>
      </c>
      <c r="I27" s="3">
        <v>0</v>
      </c>
      <c r="J27" s="3">
        <v>9350</v>
      </c>
      <c r="K27" s="6">
        <f t="shared" si="0"/>
        <v>1925648</v>
      </c>
    </row>
    <row r="28" spans="1:11" ht="12.75">
      <c r="A28" t="s">
        <v>549</v>
      </c>
      <c r="B28" s="7">
        <v>24</v>
      </c>
      <c r="C28" s="3">
        <v>83491</v>
      </c>
      <c r="D28" s="3">
        <v>0</v>
      </c>
      <c r="E28" s="3">
        <v>0</v>
      </c>
      <c r="F28" s="3">
        <v>0</v>
      </c>
      <c r="G28" s="3">
        <v>0</v>
      </c>
      <c r="H28" s="3">
        <v>7127</v>
      </c>
      <c r="I28" s="3">
        <v>0</v>
      </c>
      <c r="J28" s="3">
        <v>67</v>
      </c>
      <c r="K28" s="6">
        <f t="shared" si="0"/>
        <v>90551</v>
      </c>
    </row>
    <row r="29" spans="1:11" ht="12.75">
      <c r="A29" t="s">
        <v>550</v>
      </c>
      <c r="B29" s="7">
        <v>12</v>
      </c>
      <c r="C29" s="3">
        <v>41779</v>
      </c>
      <c r="D29" s="3">
        <v>0</v>
      </c>
      <c r="E29" s="3">
        <v>10</v>
      </c>
      <c r="F29" s="3">
        <v>0</v>
      </c>
      <c r="G29" s="3">
        <v>0</v>
      </c>
      <c r="H29" s="3">
        <v>7656</v>
      </c>
      <c r="I29" s="3">
        <v>0</v>
      </c>
      <c r="J29" s="3">
        <v>0</v>
      </c>
      <c r="K29" s="6">
        <f t="shared" si="0"/>
        <v>49445</v>
      </c>
    </row>
    <row r="30" spans="1:11" ht="12.75">
      <c r="A30" t="s">
        <v>551</v>
      </c>
      <c r="B30" s="7">
        <v>12</v>
      </c>
      <c r="C30" s="3">
        <v>41779</v>
      </c>
      <c r="D30" s="3">
        <v>0</v>
      </c>
      <c r="E30" s="3">
        <v>78</v>
      </c>
      <c r="F30" s="3">
        <v>0</v>
      </c>
      <c r="G30" s="3">
        <v>0</v>
      </c>
      <c r="H30" s="3">
        <v>5613</v>
      </c>
      <c r="I30" s="3">
        <v>0</v>
      </c>
      <c r="J30" s="3">
        <v>0</v>
      </c>
      <c r="K30" s="6">
        <f t="shared" si="0"/>
        <v>47470</v>
      </c>
    </row>
    <row r="31" spans="1:11" ht="12.75">
      <c r="A31" t="s">
        <v>552</v>
      </c>
      <c r="B31" s="7">
        <v>28</v>
      </c>
      <c r="C31" s="3">
        <v>97485</v>
      </c>
      <c r="D31" s="3">
        <v>0</v>
      </c>
      <c r="E31" s="3">
        <v>512</v>
      </c>
      <c r="F31" s="3">
        <v>0</v>
      </c>
      <c r="G31" s="3">
        <v>0</v>
      </c>
      <c r="H31" s="3">
        <v>10817</v>
      </c>
      <c r="I31" s="3">
        <v>0</v>
      </c>
      <c r="J31" s="3">
        <v>0</v>
      </c>
      <c r="K31" s="6">
        <f t="shared" si="0"/>
        <v>108814</v>
      </c>
    </row>
    <row r="32" spans="1:11" ht="12.75">
      <c r="A32" t="s">
        <v>553</v>
      </c>
      <c r="B32" s="7">
        <v>12</v>
      </c>
      <c r="C32" s="3">
        <v>41779</v>
      </c>
      <c r="D32" s="3">
        <v>0</v>
      </c>
      <c r="E32" s="3">
        <v>0</v>
      </c>
      <c r="F32" s="3">
        <v>0</v>
      </c>
      <c r="G32" s="3">
        <v>0</v>
      </c>
      <c r="H32" s="3">
        <v>3651</v>
      </c>
      <c r="I32" s="3">
        <v>0</v>
      </c>
      <c r="J32" s="3">
        <v>0</v>
      </c>
      <c r="K32" s="6">
        <f t="shared" si="0"/>
        <v>45430</v>
      </c>
    </row>
    <row r="33" spans="1:11" ht="12.75">
      <c r="A33" t="s">
        <v>554</v>
      </c>
      <c r="B33" s="7">
        <v>18</v>
      </c>
      <c r="C33" s="3">
        <v>62669</v>
      </c>
      <c r="D33" s="3">
        <v>0</v>
      </c>
      <c r="E33" s="3">
        <v>205</v>
      </c>
      <c r="F33" s="3">
        <v>0</v>
      </c>
      <c r="G33" s="3">
        <v>0</v>
      </c>
      <c r="H33" s="3">
        <v>7347</v>
      </c>
      <c r="I33" s="3">
        <v>0</v>
      </c>
      <c r="J33" s="3">
        <v>0</v>
      </c>
      <c r="K33" s="6">
        <f t="shared" si="0"/>
        <v>70221</v>
      </c>
    </row>
    <row r="34" spans="1:11" ht="12.75">
      <c r="A34" t="s">
        <v>555</v>
      </c>
      <c r="B34" s="7">
        <v>470.17</v>
      </c>
      <c r="C34" s="3">
        <v>972979</v>
      </c>
      <c r="D34" s="3">
        <v>0</v>
      </c>
      <c r="E34" s="3">
        <v>8957</v>
      </c>
      <c r="F34" s="3">
        <v>0</v>
      </c>
      <c r="G34" s="3">
        <v>145633</v>
      </c>
      <c r="H34" s="3">
        <v>99194</v>
      </c>
      <c r="I34" s="3">
        <v>18275</v>
      </c>
      <c r="J34" s="3">
        <v>3311</v>
      </c>
      <c r="K34" s="6">
        <f t="shared" si="0"/>
        <v>1241727</v>
      </c>
    </row>
    <row r="35" spans="1:11" ht="12.75">
      <c r="A35" t="s">
        <v>556</v>
      </c>
      <c r="B35" s="7">
        <v>14459.94</v>
      </c>
      <c r="C35" s="3">
        <v>27682448</v>
      </c>
      <c r="D35" s="3">
        <v>0</v>
      </c>
      <c r="E35" s="3">
        <v>46837</v>
      </c>
      <c r="F35" s="3">
        <v>0</v>
      </c>
      <c r="G35" s="3">
        <v>2826124</v>
      </c>
      <c r="H35" s="3">
        <v>2577314</v>
      </c>
      <c r="I35" s="3">
        <v>272543</v>
      </c>
      <c r="J35" s="3">
        <v>95926</v>
      </c>
      <c r="K35" s="6">
        <f t="shared" si="0"/>
        <v>33309340</v>
      </c>
    </row>
    <row r="36" spans="1:11" ht="12.75">
      <c r="A36" t="s">
        <v>557</v>
      </c>
      <c r="B36" s="7">
        <v>24</v>
      </c>
      <c r="C36" s="3">
        <v>42502</v>
      </c>
      <c r="D36" s="3">
        <v>0</v>
      </c>
      <c r="E36" s="3">
        <v>0</v>
      </c>
      <c r="F36" s="3">
        <v>0</v>
      </c>
      <c r="G36" s="3">
        <v>4454</v>
      </c>
      <c r="H36" s="3">
        <v>3870</v>
      </c>
      <c r="I36" s="3">
        <v>0</v>
      </c>
      <c r="J36" s="3">
        <v>0</v>
      </c>
      <c r="K36" s="6">
        <f t="shared" si="0"/>
        <v>50826</v>
      </c>
    </row>
    <row r="37" spans="1:11" ht="12.75">
      <c r="A37" t="s">
        <v>558</v>
      </c>
      <c r="B37" s="7">
        <v>84</v>
      </c>
      <c r="C37" s="3">
        <v>174187</v>
      </c>
      <c r="D37" s="3">
        <v>0</v>
      </c>
      <c r="E37" s="3">
        <v>2099</v>
      </c>
      <c r="F37" s="3">
        <v>0</v>
      </c>
      <c r="G37" s="3">
        <v>27463</v>
      </c>
      <c r="H37" s="3">
        <v>17832</v>
      </c>
      <c r="I37" s="3">
        <v>3009</v>
      </c>
      <c r="J37" s="3">
        <v>0</v>
      </c>
      <c r="K37" s="6">
        <f t="shared" si="0"/>
        <v>224590</v>
      </c>
    </row>
    <row r="38" spans="1:11" ht="12.75">
      <c r="A38" t="s">
        <v>559</v>
      </c>
      <c r="B38" s="7">
        <v>1727.75</v>
      </c>
      <c r="C38" s="3">
        <v>3317744</v>
      </c>
      <c r="D38" s="3">
        <v>0</v>
      </c>
      <c r="E38" s="3">
        <v>4984</v>
      </c>
      <c r="F38" s="3">
        <v>0</v>
      </c>
      <c r="G38" s="3">
        <v>345364</v>
      </c>
      <c r="H38" s="3">
        <v>314920</v>
      </c>
      <c r="I38" s="3">
        <v>32918</v>
      </c>
      <c r="J38" s="3">
        <v>7122</v>
      </c>
      <c r="K38" s="6">
        <f t="shared" si="0"/>
        <v>4008808</v>
      </c>
    </row>
    <row r="39" spans="1:11" ht="12.75">
      <c r="A39" t="s">
        <v>560</v>
      </c>
      <c r="B39" s="7">
        <v>50</v>
      </c>
      <c r="C39" s="3">
        <v>101819</v>
      </c>
      <c r="D39" s="3">
        <v>0</v>
      </c>
      <c r="E39" s="3">
        <v>1036</v>
      </c>
      <c r="F39" s="3">
        <v>0</v>
      </c>
      <c r="G39" s="3">
        <v>16296</v>
      </c>
      <c r="H39" s="3">
        <v>11137</v>
      </c>
      <c r="I39" s="3">
        <v>2083</v>
      </c>
      <c r="J39" s="3">
        <v>1197</v>
      </c>
      <c r="K39" s="6">
        <f t="shared" si="0"/>
        <v>131174</v>
      </c>
    </row>
    <row r="40" spans="1:11" ht="12.75">
      <c r="A40" t="s">
        <v>561</v>
      </c>
      <c r="B40" s="7">
        <v>374.14</v>
      </c>
      <c r="C40" s="3">
        <v>719304</v>
      </c>
      <c r="D40" s="3">
        <v>0</v>
      </c>
      <c r="E40" s="3">
        <v>1977</v>
      </c>
      <c r="F40" s="3">
        <v>0</v>
      </c>
      <c r="G40" s="3">
        <v>83604</v>
      </c>
      <c r="H40" s="3">
        <v>75725</v>
      </c>
      <c r="I40" s="3">
        <v>7147</v>
      </c>
      <c r="J40" s="3">
        <v>834</v>
      </c>
      <c r="K40" s="6">
        <f aca="true" t="shared" si="1" ref="K40:K71">(I40+H40+G40+F40+E40+D40+C40)-(J40)</f>
        <v>886923</v>
      </c>
    </row>
    <row r="41" spans="1:11" ht="12.75">
      <c r="A41" t="s">
        <v>562</v>
      </c>
      <c r="B41" s="7">
        <v>24</v>
      </c>
      <c r="C41" s="3">
        <v>49768</v>
      </c>
      <c r="D41" s="3">
        <v>0</v>
      </c>
      <c r="E41" s="3">
        <v>0</v>
      </c>
      <c r="F41" s="3">
        <v>0</v>
      </c>
      <c r="G41" s="3">
        <v>6020</v>
      </c>
      <c r="H41" s="3">
        <v>5758</v>
      </c>
      <c r="I41" s="3">
        <v>2235</v>
      </c>
      <c r="J41" s="3">
        <v>0</v>
      </c>
      <c r="K41" s="6">
        <f t="shared" si="1"/>
        <v>63781</v>
      </c>
    </row>
    <row r="42" spans="1:11" ht="12.75">
      <c r="A42" t="s">
        <v>563</v>
      </c>
      <c r="B42" s="7">
        <v>944.49</v>
      </c>
      <c r="C42" s="3">
        <v>1802051</v>
      </c>
      <c r="D42" s="3">
        <v>0</v>
      </c>
      <c r="E42" s="3">
        <v>475</v>
      </c>
      <c r="F42" s="3">
        <v>0</v>
      </c>
      <c r="G42" s="3">
        <v>199462</v>
      </c>
      <c r="H42" s="3">
        <v>168581</v>
      </c>
      <c r="I42" s="3">
        <v>25106</v>
      </c>
      <c r="J42" s="3">
        <v>8035</v>
      </c>
      <c r="K42" s="6">
        <f t="shared" si="1"/>
        <v>2187640</v>
      </c>
    </row>
    <row r="43" spans="1:11" ht="12.75">
      <c r="A43" t="s">
        <v>746</v>
      </c>
      <c r="B43" s="7">
        <v>1</v>
      </c>
      <c r="C43" s="3">
        <v>1771</v>
      </c>
      <c r="D43" s="3">
        <v>0</v>
      </c>
      <c r="E43" s="3">
        <v>30</v>
      </c>
      <c r="F43" s="3">
        <v>0</v>
      </c>
      <c r="G43" s="3">
        <v>277</v>
      </c>
      <c r="H43" s="3">
        <v>174</v>
      </c>
      <c r="I43" s="3">
        <v>0</v>
      </c>
      <c r="J43" s="3">
        <v>0</v>
      </c>
      <c r="K43" s="6">
        <f t="shared" si="1"/>
        <v>2252</v>
      </c>
    </row>
    <row r="44" spans="1:11" ht="12.75">
      <c r="A44" t="s">
        <v>564</v>
      </c>
      <c r="B44" s="7">
        <v>12</v>
      </c>
      <c r="C44" s="3">
        <v>41779</v>
      </c>
      <c r="D44" s="3">
        <v>0</v>
      </c>
      <c r="E44" s="3">
        <v>0</v>
      </c>
      <c r="F44" s="3">
        <v>0</v>
      </c>
      <c r="G44" s="3">
        <v>0</v>
      </c>
      <c r="H44" s="3">
        <v>4695</v>
      </c>
      <c r="I44" s="3">
        <v>1857</v>
      </c>
      <c r="J44" s="3">
        <v>0</v>
      </c>
      <c r="K44" s="6">
        <f t="shared" si="1"/>
        <v>48331</v>
      </c>
    </row>
    <row r="45" spans="1:11" ht="12.75">
      <c r="A45" t="s">
        <v>565</v>
      </c>
      <c r="B45" s="7">
        <v>24</v>
      </c>
      <c r="C45" s="3">
        <v>83558</v>
      </c>
      <c r="D45" s="3">
        <v>0</v>
      </c>
      <c r="E45" s="3">
        <v>0</v>
      </c>
      <c r="F45" s="3">
        <v>0</v>
      </c>
      <c r="G45" s="3">
        <v>0</v>
      </c>
      <c r="H45" s="3">
        <v>16315</v>
      </c>
      <c r="I45" s="3">
        <v>16011</v>
      </c>
      <c r="J45" s="3">
        <v>0</v>
      </c>
      <c r="K45" s="6">
        <f t="shared" si="1"/>
        <v>115884</v>
      </c>
    </row>
    <row r="46" spans="1:11" ht="12.75">
      <c r="A46" t="s">
        <v>566</v>
      </c>
      <c r="B46" s="7">
        <v>17.23</v>
      </c>
      <c r="C46" s="3">
        <v>59973</v>
      </c>
      <c r="D46" s="3">
        <v>0</v>
      </c>
      <c r="E46" s="3">
        <v>0</v>
      </c>
      <c r="F46" s="3">
        <v>0</v>
      </c>
      <c r="G46" s="3">
        <v>0</v>
      </c>
      <c r="H46" s="3">
        <v>10580</v>
      </c>
      <c r="I46" s="3">
        <v>0</v>
      </c>
      <c r="J46" s="3">
        <v>0</v>
      </c>
      <c r="K46" s="6">
        <f t="shared" si="1"/>
        <v>70553</v>
      </c>
    </row>
    <row r="47" spans="1:11" ht="12.75">
      <c r="A47" t="s">
        <v>567</v>
      </c>
      <c r="B47" s="7">
        <v>18.16</v>
      </c>
      <c r="C47" s="3">
        <v>63322</v>
      </c>
      <c r="D47" s="3">
        <v>0</v>
      </c>
      <c r="E47" s="3">
        <v>0</v>
      </c>
      <c r="F47" s="3">
        <v>0</v>
      </c>
      <c r="G47" s="3">
        <v>0</v>
      </c>
      <c r="H47" s="3">
        <v>3942</v>
      </c>
      <c r="I47" s="3">
        <v>7187</v>
      </c>
      <c r="J47" s="3">
        <v>0</v>
      </c>
      <c r="K47" s="6">
        <f t="shared" si="1"/>
        <v>74451</v>
      </c>
    </row>
    <row r="48" spans="1:11" ht="12.75">
      <c r="A48" t="s">
        <v>568</v>
      </c>
      <c r="B48" s="7">
        <v>12</v>
      </c>
      <c r="C48" s="3">
        <v>41779</v>
      </c>
      <c r="D48" s="3">
        <v>0</v>
      </c>
      <c r="E48" s="3">
        <v>0</v>
      </c>
      <c r="F48" s="3">
        <v>0</v>
      </c>
      <c r="G48" s="3">
        <v>0</v>
      </c>
      <c r="H48" s="3">
        <v>7464</v>
      </c>
      <c r="I48" s="3">
        <v>5988</v>
      </c>
      <c r="J48" s="3">
        <v>0</v>
      </c>
      <c r="K48" s="6">
        <f t="shared" si="1"/>
        <v>55231</v>
      </c>
    </row>
    <row r="49" spans="1:11" ht="12.75">
      <c r="A49" t="s">
        <v>569</v>
      </c>
      <c r="B49" s="7">
        <v>12</v>
      </c>
      <c r="C49" s="3">
        <v>41780</v>
      </c>
      <c r="D49" s="3">
        <v>0</v>
      </c>
      <c r="E49" s="3">
        <v>0</v>
      </c>
      <c r="F49" s="3">
        <v>0</v>
      </c>
      <c r="G49" s="3">
        <v>0</v>
      </c>
      <c r="H49" s="3">
        <v>7860</v>
      </c>
      <c r="I49" s="3">
        <v>9482</v>
      </c>
      <c r="J49" s="3">
        <v>0</v>
      </c>
      <c r="K49" s="6">
        <f t="shared" si="1"/>
        <v>59122</v>
      </c>
    </row>
    <row r="50" spans="1:11" ht="12.75">
      <c r="A50" t="s">
        <v>570</v>
      </c>
      <c r="B50" s="7">
        <v>60</v>
      </c>
      <c r="C50" s="3">
        <v>124419</v>
      </c>
      <c r="D50" s="3">
        <v>0</v>
      </c>
      <c r="E50" s="3">
        <v>715</v>
      </c>
      <c r="F50" s="3">
        <v>0</v>
      </c>
      <c r="G50" s="3">
        <v>21288</v>
      </c>
      <c r="H50" s="3">
        <v>13502</v>
      </c>
      <c r="I50" s="3">
        <v>965</v>
      </c>
      <c r="J50" s="3">
        <v>0</v>
      </c>
      <c r="K50" s="6">
        <f t="shared" si="1"/>
        <v>160889</v>
      </c>
    </row>
    <row r="51" spans="1:11" ht="12.75">
      <c r="A51" t="s">
        <v>571</v>
      </c>
      <c r="B51" s="7">
        <v>285.23</v>
      </c>
      <c r="C51" s="3">
        <v>547774</v>
      </c>
      <c r="D51" s="3">
        <v>0</v>
      </c>
      <c r="E51" s="3">
        <v>1570</v>
      </c>
      <c r="F51" s="3">
        <v>0</v>
      </c>
      <c r="G51" s="3">
        <v>72905</v>
      </c>
      <c r="H51" s="3">
        <v>52106</v>
      </c>
      <c r="I51" s="3">
        <v>6015</v>
      </c>
      <c r="J51" s="3">
        <v>967</v>
      </c>
      <c r="K51" s="6">
        <f t="shared" si="1"/>
        <v>679403</v>
      </c>
    </row>
    <row r="52" spans="1:11" ht="12.75">
      <c r="A52" t="s">
        <v>572</v>
      </c>
      <c r="B52" s="7">
        <v>36</v>
      </c>
      <c r="C52" s="3">
        <v>74651</v>
      </c>
      <c r="D52" s="3">
        <v>0</v>
      </c>
      <c r="E52" s="3">
        <v>2697</v>
      </c>
      <c r="F52" s="3">
        <v>0</v>
      </c>
      <c r="G52" s="3">
        <v>12084</v>
      </c>
      <c r="H52" s="3">
        <v>7948</v>
      </c>
      <c r="I52" s="3">
        <v>1490</v>
      </c>
      <c r="J52" s="3">
        <v>0</v>
      </c>
      <c r="K52" s="6">
        <f t="shared" si="1"/>
        <v>98870</v>
      </c>
    </row>
    <row r="53" spans="1:11" ht="12.75">
      <c r="A53" t="s">
        <v>573</v>
      </c>
      <c r="B53" s="7">
        <v>131</v>
      </c>
      <c r="C53" s="3">
        <v>251970</v>
      </c>
      <c r="D53" s="3">
        <v>0</v>
      </c>
      <c r="E53" s="3">
        <v>580</v>
      </c>
      <c r="F53" s="3">
        <v>0</v>
      </c>
      <c r="G53" s="3">
        <v>11547</v>
      </c>
      <c r="H53" s="3">
        <v>23275</v>
      </c>
      <c r="I53" s="3">
        <v>0</v>
      </c>
      <c r="J53" s="3">
        <v>0</v>
      </c>
      <c r="K53" s="6">
        <f t="shared" si="1"/>
        <v>287372</v>
      </c>
    </row>
    <row r="54" spans="1:11" ht="12.75">
      <c r="A54" t="s">
        <v>574</v>
      </c>
      <c r="B54" s="7">
        <v>185.65</v>
      </c>
      <c r="C54" s="3">
        <v>328655</v>
      </c>
      <c r="D54" s="3">
        <v>0</v>
      </c>
      <c r="E54" s="3">
        <v>152</v>
      </c>
      <c r="F54" s="3">
        <v>0</v>
      </c>
      <c r="G54" s="3">
        <v>7124</v>
      </c>
      <c r="H54" s="3">
        <v>28144</v>
      </c>
      <c r="I54" s="3">
        <v>353</v>
      </c>
      <c r="J54" s="3">
        <v>119</v>
      </c>
      <c r="K54" s="6">
        <f t="shared" si="1"/>
        <v>364309</v>
      </c>
    </row>
    <row r="55" spans="1:11" ht="12.75">
      <c r="A55" t="s">
        <v>575</v>
      </c>
      <c r="B55" s="7">
        <v>60</v>
      </c>
      <c r="C55" s="3">
        <v>106254</v>
      </c>
      <c r="D55" s="3">
        <v>0</v>
      </c>
      <c r="E55" s="3">
        <v>0</v>
      </c>
      <c r="F55" s="3">
        <v>0</v>
      </c>
      <c r="G55" s="3">
        <v>13402</v>
      </c>
      <c r="H55" s="3">
        <v>9933</v>
      </c>
      <c r="I55" s="3">
        <v>1655</v>
      </c>
      <c r="J55" s="3">
        <v>0</v>
      </c>
      <c r="K55" s="6">
        <f t="shared" si="1"/>
        <v>131244</v>
      </c>
    </row>
    <row r="56" spans="1:11" ht="12.75">
      <c r="A56" t="s">
        <v>576</v>
      </c>
      <c r="B56" s="7">
        <v>48</v>
      </c>
      <c r="C56" s="3">
        <v>85003</v>
      </c>
      <c r="D56" s="3">
        <v>0</v>
      </c>
      <c r="E56" s="3">
        <v>204</v>
      </c>
      <c r="F56" s="3">
        <v>0</v>
      </c>
      <c r="G56" s="3">
        <v>10007</v>
      </c>
      <c r="H56" s="3">
        <v>7887</v>
      </c>
      <c r="I56" s="3">
        <v>2506</v>
      </c>
      <c r="J56" s="3">
        <v>0</v>
      </c>
      <c r="K56" s="6">
        <f t="shared" si="1"/>
        <v>105607</v>
      </c>
    </row>
    <row r="57" spans="1:11" ht="12.75">
      <c r="A57" t="s">
        <v>577</v>
      </c>
      <c r="B57" s="7">
        <v>57.69</v>
      </c>
      <c r="C57" s="3">
        <v>92355</v>
      </c>
      <c r="D57" s="3">
        <v>0</v>
      </c>
      <c r="E57" s="3">
        <v>67</v>
      </c>
      <c r="F57" s="3">
        <v>0</v>
      </c>
      <c r="G57" s="3">
        <v>2789</v>
      </c>
      <c r="H57" s="3">
        <v>8165</v>
      </c>
      <c r="I57" s="3">
        <v>0</v>
      </c>
      <c r="J57" s="3">
        <v>0</v>
      </c>
      <c r="K57" s="6">
        <f t="shared" si="1"/>
        <v>103376</v>
      </c>
    </row>
    <row r="58" spans="1:11" ht="12.75">
      <c r="A58" t="s">
        <v>578</v>
      </c>
      <c r="B58" s="7">
        <v>1228.81</v>
      </c>
      <c r="C58" s="3">
        <v>1957576</v>
      </c>
      <c r="D58" s="3">
        <v>0</v>
      </c>
      <c r="E58" s="3">
        <v>6351</v>
      </c>
      <c r="F58" s="3">
        <v>0</v>
      </c>
      <c r="G58" s="3">
        <v>83798</v>
      </c>
      <c r="H58" s="3">
        <v>182841</v>
      </c>
      <c r="I58" s="3">
        <v>2532</v>
      </c>
      <c r="J58" s="3">
        <v>9759</v>
      </c>
      <c r="K58" s="6">
        <f t="shared" si="1"/>
        <v>2223339</v>
      </c>
    </row>
    <row r="59" spans="1:11" ht="12.75">
      <c r="A59" t="s">
        <v>579</v>
      </c>
      <c r="B59" s="7">
        <v>775</v>
      </c>
      <c r="C59" s="3">
        <v>1204811</v>
      </c>
      <c r="D59" s="3">
        <v>0</v>
      </c>
      <c r="E59" s="3">
        <v>1026</v>
      </c>
      <c r="F59" s="3">
        <v>0</v>
      </c>
      <c r="G59" s="3">
        <v>73356</v>
      </c>
      <c r="H59" s="3">
        <v>106857</v>
      </c>
      <c r="I59" s="3">
        <v>4300</v>
      </c>
      <c r="J59" s="3">
        <v>5156</v>
      </c>
      <c r="K59" s="6">
        <f t="shared" si="1"/>
        <v>1385194</v>
      </c>
    </row>
    <row r="60" spans="1:11" ht="12.75">
      <c r="A60" t="s">
        <v>580</v>
      </c>
      <c r="B60" s="7">
        <v>12</v>
      </c>
      <c r="C60" s="3">
        <v>18541</v>
      </c>
      <c r="D60" s="3">
        <v>0</v>
      </c>
      <c r="E60" s="3">
        <v>0</v>
      </c>
      <c r="F60" s="3">
        <v>0</v>
      </c>
      <c r="G60" s="3">
        <v>2278</v>
      </c>
      <c r="H60" s="3">
        <v>1747</v>
      </c>
      <c r="I60" s="3">
        <v>0</v>
      </c>
      <c r="J60" s="3">
        <v>0</v>
      </c>
      <c r="K60" s="6">
        <f t="shared" si="1"/>
        <v>22566</v>
      </c>
    </row>
    <row r="61" spans="1:11" ht="12.75">
      <c r="A61" t="s">
        <v>581</v>
      </c>
      <c r="B61" s="7">
        <v>1180</v>
      </c>
      <c r="C61" s="3">
        <v>1671295</v>
      </c>
      <c r="D61" s="3">
        <v>0</v>
      </c>
      <c r="E61" s="3">
        <v>0</v>
      </c>
      <c r="F61" s="3">
        <v>0</v>
      </c>
      <c r="G61" s="3">
        <v>94493</v>
      </c>
      <c r="H61" s="3">
        <v>136210</v>
      </c>
      <c r="I61" s="3">
        <v>2936</v>
      </c>
      <c r="J61" s="3">
        <v>18299</v>
      </c>
      <c r="K61" s="6">
        <f t="shared" si="1"/>
        <v>1886635</v>
      </c>
    </row>
    <row r="62" spans="1:11" ht="12.75">
      <c r="A62" t="s">
        <v>582</v>
      </c>
      <c r="B62" s="7">
        <v>12</v>
      </c>
      <c r="C62" s="3">
        <v>41779</v>
      </c>
      <c r="D62" s="3">
        <v>0</v>
      </c>
      <c r="E62" s="3">
        <v>0</v>
      </c>
      <c r="F62" s="3">
        <v>0</v>
      </c>
      <c r="G62" s="3">
        <v>0</v>
      </c>
      <c r="H62" s="3">
        <v>5224</v>
      </c>
      <c r="I62" s="3">
        <v>5988</v>
      </c>
      <c r="J62" s="3">
        <v>0</v>
      </c>
      <c r="K62" s="6">
        <f t="shared" si="1"/>
        <v>52991</v>
      </c>
    </row>
    <row r="63" spans="1:11" ht="12.75">
      <c r="A63" t="s">
        <v>583</v>
      </c>
      <c r="B63" s="7">
        <v>78.54</v>
      </c>
      <c r="C63" s="3">
        <v>273044</v>
      </c>
      <c r="D63" s="3">
        <v>0</v>
      </c>
      <c r="E63" s="3">
        <v>286</v>
      </c>
      <c r="F63" s="3">
        <v>0</v>
      </c>
      <c r="G63" s="3">
        <v>0</v>
      </c>
      <c r="H63" s="3">
        <v>32737</v>
      </c>
      <c r="I63" s="3">
        <v>11598</v>
      </c>
      <c r="J63" s="3">
        <v>649</v>
      </c>
      <c r="K63" s="6">
        <f t="shared" si="1"/>
        <v>317016</v>
      </c>
    </row>
    <row r="64" spans="1:11" ht="12.75">
      <c r="A64" t="s">
        <v>584</v>
      </c>
      <c r="B64" s="7">
        <v>53.47</v>
      </c>
      <c r="C64" s="3">
        <v>111468</v>
      </c>
      <c r="D64" s="3">
        <v>0</v>
      </c>
      <c r="E64" s="3">
        <v>2221</v>
      </c>
      <c r="F64" s="3">
        <v>0</v>
      </c>
      <c r="G64" s="3">
        <v>17162</v>
      </c>
      <c r="H64" s="3">
        <v>11244</v>
      </c>
      <c r="I64" s="3">
        <v>1085</v>
      </c>
      <c r="J64" s="3">
        <v>1342</v>
      </c>
      <c r="K64" s="6">
        <f t="shared" si="1"/>
        <v>141838</v>
      </c>
    </row>
    <row r="65" spans="1:11" ht="12.75">
      <c r="A65" t="s">
        <v>585</v>
      </c>
      <c r="B65" s="7">
        <v>811.75</v>
      </c>
      <c r="C65" s="3">
        <v>1576301</v>
      </c>
      <c r="D65" s="3">
        <v>0</v>
      </c>
      <c r="E65" s="3">
        <v>5268</v>
      </c>
      <c r="F65" s="3">
        <v>0</v>
      </c>
      <c r="G65" s="3">
        <v>100652</v>
      </c>
      <c r="H65" s="3">
        <v>150925</v>
      </c>
      <c r="I65" s="3">
        <v>12723</v>
      </c>
      <c r="J65" s="3">
        <v>2280</v>
      </c>
      <c r="K65" s="6">
        <f t="shared" si="1"/>
        <v>1843589</v>
      </c>
    </row>
    <row r="66" spans="1:11" ht="12.75">
      <c r="A66" t="s">
        <v>586</v>
      </c>
      <c r="B66" s="7">
        <v>1478.35</v>
      </c>
      <c r="C66" s="3">
        <v>2637357</v>
      </c>
      <c r="D66" s="3">
        <v>0</v>
      </c>
      <c r="E66" s="3">
        <v>8214</v>
      </c>
      <c r="F66" s="3">
        <v>0</v>
      </c>
      <c r="G66" s="3">
        <v>268124</v>
      </c>
      <c r="H66" s="3">
        <v>239461</v>
      </c>
      <c r="I66" s="3">
        <v>47194</v>
      </c>
      <c r="J66" s="3">
        <v>5237</v>
      </c>
      <c r="K66" s="6">
        <f t="shared" si="1"/>
        <v>3195113</v>
      </c>
    </row>
    <row r="67" spans="1:11" ht="12.75">
      <c r="A67" t="s">
        <v>587</v>
      </c>
      <c r="B67" s="7">
        <v>27</v>
      </c>
      <c r="C67" s="3">
        <v>43222</v>
      </c>
      <c r="D67" s="3">
        <v>0</v>
      </c>
      <c r="E67" s="3">
        <v>219</v>
      </c>
      <c r="F67" s="3">
        <v>0</v>
      </c>
      <c r="G67" s="3">
        <v>5598</v>
      </c>
      <c r="H67" s="3">
        <v>3687</v>
      </c>
      <c r="I67" s="3">
        <v>0</v>
      </c>
      <c r="J67" s="3">
        <v>0</v>
      </c>
      <c r="K67" s="6">
        <f t="shared" si="1"/>
        <v>52726</v>
      </c>
    </row>
    <row r="68" spans="1:11" ht="12.75">
      <c r="A68" t="s">
        <v>588</v>
      </c>
      <c r="B68" s="7">
        <v>388.15</v>
      </c>
      <c r="C68" s="3">
        <v>599521</v>
      </c>
      <c r="D68" s="3">
        <v>0</v>
      </c>
      <c r="E68" s="3">
        <v>3065</v>
      </c>
      <c r="F68" s="3">
        <v>0</v>
      </c>
      <c r="G68" s="3">
        <v>52299</v>
      </c>
      <c r="H68" s="3">
        <v>50871</v>
      </c>
      <c r="I68" s="3">
        <v>0</v>
      </c>
      <c r="J68" s="3">
        <v>1174</v>
      </c>
      <c r="K68" s="6">
        <f t="shared" si="1"/>
        <v>704582</v>
      </c>
    </row>
    <row r="69" spans="1:11" ht="12.75">
      <c r="A69" t="s">
        <v>589</v>
      </c>
      <c r="B69" s="7">
        <v>58</v>
      </c>
      <c r="C69" s="3">
        <v>82616</v>
      </c>
      <c r="D69" s="3">
        <v>0</v>
      </c>
      <c r="E69" s="3">
        <v>0</v>
      </c>
      <c r="F69" s="3">
        <v>0</v>
      </c>
      <c r="G69" s="3">
        <v>5091</v>
      </c>
      <c r="H69" s="3">
        <v>7348</v>
      </c>
      <c r="I69" s="3">
        <v>0</v>
      </c>
      <c r="J69" s="3">
        <v>502</v>
      </c>
      <c r="K69" s="6">
        <f t="shared" si="1"/>
        <v>94553</v>
      </c>
    </row>
    <row r="70" spans="1:11" ht="12.75">
      <c r="A70" s="2" t="s">
        <v>527</v>
      </c>
      <c r="B70" s="8">
        <f aca="true" t="shared" si="2" ref="B70:K70">SUM(B7:B69)</f>
        <v>32157.600000000006</v>
      </c>
      <c r="C70" s="6">
        <f t="shared" si="2"/>
        <v>71488809</v>
      </c>
      <c r="D70" s="6">
        <f t="shared" si="2"/>
        <v>0</v>
      </c>
      <c r="E70" s="6">
        <f t="shared" si="2"/>
        <v>517230</v>
      </c>
      <c r="F70" s="6">
        <f t="shared" si="2"/>
        <v>0</v>
      </c>
      <c r="G70" s="6">
        <f t="shared" si="2"/>
        <v>4508694</v>
      </c>
      <c r="H70" s="6">
        <f t="shared" si="2"/>
        <v>7772047</v>
      </c>
      <c r="I70" s="6">
        <f t="shared" si="2"/>
        <v>587960</v>
      </c>
      <c r="J70" s="6">
        <f t="shared" si="2"/>
        <v>193677</v>
      </c>
      <c r="K70" s="6">
        <f t="shared" si="2"/>
        <v>84681063</v>
      </c>
    </row>
  </sheetData>
  <sheetProtection/>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O190"/>
  <sheetViews>
    <sheetView zoomScalePageLayoutView="0" workbookViewId="0" topLeftCell="A1">
      <selection activeCell="A1" sqref="A1"/>
    </sheetView>
  </sheetViews>
  <sheetFormatPr defaultColWidth="9.140625" defaultRowHeight="12.75"/>
  <sheetData>
    <row r="1" ht="18">
      <c r="A1" s="1" t="s">
        <v>811</v>
      </c>
    </row>
    <row r="5" ht="12.75">
      <c r="A5" s="2" t="s">
        <v>812</v>
      </c>
    </row>
    <row r="6" spans="1:13" ht="12.75">
      <c r="A6" s="2" t="s">
        <v>522</v>
      </c>
      <c r="B6" s="2" t="s">
        <v>813</v>
      </c>
      <c r="C6" s="2" t="s">
        <v>814</v>
      </c>
      <c r="D6" s="2" t="s">
        <v>815</v>
      </c>
      <c r="E6" s="2" t="s">
        <v>816</v>
      </c>
      <c r="F6" s="2" t="s">
        <v>817</v>
      </c>
      <c r="G6" s="2" t="s">
        <v>818</v>
      </c>
      <c r="H6" s="2" t="s">
        <v>819</v>
      </c>
      <c r="I6" s="2" t="s">
        <v>820</v>
      </c>
      <c r="J6" s="2" t="s">
        <v>821</v>
      </c>
      <c r="K6" s="2" t="s">
        <v>822</v>
      </c>
      <c r="L6" s="2" t="s">
        <v>823</v>
      </c>
      <c r="M6" s="2" t="s">
        <v>824</v>
      </c>
    </row>
    <row r="7" spans="1:13" ht="12.75">
      <c r="A7" s="2" t="s">
        <v>533</v>
      </c>
      <c r="B7">
        <v>9708</v>
      </c>
      <c r="C7">
        <v>301121</v>
      </c>
      <c r="D7">
        <v>713036</v>
      </c>
      <c r="E7">
        <v>519147</v>
      </c>
      <c r="F7">
        <v>527428</v>
      </c>
      <c r="G7">
        <v>229730</v>
      </c>
      <c r="H7">
        <v>262535</v>
      </c>
      <c r="I7">
        <v>0</v>
      </c>
      <c r="J7">
        <v>135804</v>
      </c>
      <c r="K7">
        <v>0</v>
      </c>
      <c r="L7">
        <v>0</v>
      </c>
      <c r="M7">
        <v>0</v>
      </c>
    </row>
    <row r="8" spans="1:13" ht="12.75">
      <c r="A8" s="2" t="s">
        <v>534</v>
      </c>
      <c r="B8">
        <v>607</v>
      </c>
      <c r="C8">
        <v>19585</v>
      </c>
      <c r="D8">
        <v>0</v>
      </c>
      <c r="E8">
        <v>18471</v>
      </c>
      <c r="F8">
        <v>16171</v>
      </c>
      <c r="G8">
        <v>0</v>
      </c>
      <c r="H8">
        <v>16246</v>
      </c>
      <c r="I8">
        <v>0</v>
      </c>
      <c r="J8">
        <v>0</v>
      </c>
      <c r="K8">
        <v>0</v>
      </c>
      <c r="L8">
        <v>0</v>
      </c>
      <c r="M8">
        <v>0</v>
      </c>
    </row>
    <row r="9" spans="1:13" ht="12.75">
      <c r="A9" s="2" t="s">
        <v>535</v>
      </c>
      <c r="B9">
        <v>12150</v>
      </c>
      <c r="C9">
        <v>0</v>
      </c>
      <c r="D9">
        <v>651021</v>
      </c>
      <c r="E9">
        <v>462414</v>
      </c>
      <c r="F9">
        <v>301351</v>
      </c>
      <c r="G9">
        <v>241173</v>
      </c>
      <c r="H9">
        <v>325087</v>
      </c>
      <c r="I9">
        <v>0</v>
      </c>
      <c r="J9">
        <v>0</v>
      </c>
      <c r="K9">
        <v>0</v>
      </c>
      <c r="L9">
        <v>19192</v>
      </c>
      <c r="M9">
        <v>0</v>
      </c>
    </row>
    <row r="10" spans="1:13" ht="12.75">
      <c r="A10" s="2" t="s">
        <v>536</v>
      </c>
      <c r="B10">
        <v>1779</v>
      </c>
      <c r="C10">
        <v>0</v>
      </c>
      <c r="D10">
        <v>0</v>
      </c>
      <c r="E10">
        <v>40342</v>
      </c>
      <c r="F10">
        <v>33789</v>
      </c>
      <c r="G10">
        <v>7165</v>
      </c>
      <c r="H10">
        <v>47598</v>
      </c>
      <c r="I10">
        <v>0</v>
      </c>
      <c r="J10">
        <v>0</v>
      </c>
      <c r="K10">
        <v>0</v>
      </c>
      <c r="L10">
        <v>0</v>
      </c>
      <c r="M10">
        <v>0</v>
      </c>
    </row>
    <row r="11" spans="1:13" ht="12.75">
      <c r="A11" s="2" t="s">
        <v>537</v>
      </c>
      <c r="B11">
        <v>98998</v>
      </c>
      <c r="C11">
        <v>451</v>
      </c>
      <c r="D11">
        <v>3881828</v>
      </c>
      <c r="E11">
        <v>1396521</v>
      </c>
      <c r="F11">
        <v>967737</v>
      </c>
      <c r="G11">
        <v>1532614</v>
      </c>
      <c r="H11">
        <v>2648725</v>
      </c>
      <c r="I11">
        <v>0</v>
      </c>
      <c r="J11">
        <v>0</v>
      </c>
      <c r="K11">
        <v>0</v>
      </c>
      <c r="L11">
        <v>11248</v>
      </c>
      <c r="M11">
        <v>0</v>
      </c>
    </row>
    <row r="12" spans="1:13" ht="12.75">
      <c r="A12" s="2" t="s">
        <v>538</v>
      </c>
      <c r="B12">
        <v>22284</v>
      </c>
      <c r="C12">
        <v>0</v>
      </c>
      <c r="D12">
        <v>0</v>
      </c>
      <c r="E12">
        <v>85511</v>
      </c>
      <c r="F12">
        <v>42964</v>
      </c>
      <c r="G12">
        <v>15411</v>
      </c>
      <c r="H12">
        <v>596230</v>
      </c>
      <c r="I12">
        <v>0</v>
      </c>
      <c r="J12">
        <v>0</v>
      </c>
      <c r="K12">
        <v>0</v>
      </c>
      <c r="L12">
        <v>24952</v>
      </c>
      <c r="M12">
        <v>0</v>
      </c>
    </row>
    <row r="13" spans="1:13" ht="12.75">
      <c r="A13" s="2" t="s">
        <v>744</v>
      </c>
      <c r="B13">
        <v>158</v>
      </c>
      <c r="C13">
        <v>5109</v>
      </c>
      <c r="D13">
        <v>11731</v>
      </c>
      <c r="E13">
        <v>8000</v>
      </c>
      <c r="F13">
        <v>7920</v>
      </c>
      <c r="G13">
        <v>3984</v>
      </c>
      <c r="H13">
        <v>4238</v>
      </c>
      <c r="I13">
        <v>0</v>
      </c>
      <c r="J13">
        <v>9125</v>
      </c>
      <c r="K13">
        <v>0</v>
      </c>
      <c r="L13">
        <v>0</v>
      </c>
      <c r="M13">
        <v>0</v>
      </c>
    </row>
    <row r="14" spans="1:13" ht="12.75">
      <c r="A14" s="2" t="s">
        <v>539</v>
      </c>
      <c r="B14">
        <v>1267</v>
      </c>
      <c r="C14">
        <v>0</v>
      </c>
      <c r="D14">
        <v>67153</v>
      </c>
      <c r="E14">
        <v>45500</v>
      </c>
      <c r="F14">
        <v>40451</v>
      </c>
      <c r="G14">
        <v>28653</v>
      </c>
      <c r="H14">
        <v>33906</v>
      </c>
      <c r="I14">
        <v>0</v>
      </c>
      <c r="J14">
        <v>0</v>
      </c>
      <c r="K14">
        <v>0</v>
      </c>
      <c r="L14">
        <v>0</v>
      </c>
      <c r="M14">
        <v>0</v>
      </c>
    </row>
    <row r="15" spans="1:13" ht="12.75">
      <c r="A15" s="2" t="s">
        <v>540</v>
      </c>
      <c r="B15">
        <v>9986</v>
      </c>
      <c r="C15">
        <v>0</v>
      </c>
      <c r="D15">
        <v>393870</v>
      </c>
      <c r="E15">
        <v>139103</v>
      </c>
      <c r="F15">
        <v>97794</v>
      </c>
      <c r="G15">
        <v>170944</v>
      </c>
      <c r="H15">
        <v>267169</v>
      </c>
      <c r="I15">
        <v>0</v>
      </c>
      <c r="J15">
        <v>0</v>
      </c>
      <c r="K15">
        <v>0</v>
      </c>
      <c r="L15">
        <v>0</v>
      </c>
      <c r="M15">
        <v>0</v>
      </c>
    </row>
    <row r="16" spans="1:13" ht="12.75">
      <c r="A16" s="2" t="s">
        <v>541</v>
      </c>
      <c r="B16">
        <v>317</v>
      </c>
      <c r="C16">
        <v>10218</v>
      </c>
      <c r="D16">
        <v>23461</v>
      </c>
      <c r="E16">
        <v>17000</v>
      </c>
      <c r="F16">
        <v>24145</v>
      </c>
      <c r="G16">
        <v>7348</v>
      </c>
      <c r="H16">
        <v>0</v>
      </c>
      <c r="I16">
        <v>0</v>
      </c>
      <c r="J16">
        <v>0</v>
      </c>
      <c r="K16">
        <v>0</v>
      </c>
      <c r="L16">
        <v>0</v>
      </c>
      <c r="M16">
        <v>0</v>
      </c>
    </row>
    <row r="17" spans="1:13" ht="12.75">
      <c r="A17" s="2" t="s">
        <v>542</v>
      </c>
      <c r="B17">
        <v>1267</v>
      </c>
      <c r="C17">
        <v>0</v>
      </c>
      <c r="D17">
        <v>68384</v>
      </c>
      <c r="E17">
        <v>44000</v>
      </c>
      <c r="F17">
        <v>18175</v>
      </c>
      <c r="G17">
        <v>25127</v>
      </c>
      <c r="H17">
        <v>0</v>
      </c>
      <c r="I17">
        <v>0</v>
      </c>
      <c r="J17">
        <v>0</v>
      </c>
      <c r="K17">
        <v>0</v>
      </c>
      <c r="L17">
        <v>0</v>
      </c>
      <c r="M17">
        <v>0</v>
      </c>
    </row>
    <row r="18" spans="1:13" ht="12.75">
      <c r="A18" s="2" t="s">
        <v>543</v>
      </c>
      <c r="B18">
        <v>1966</v>
      </c>
      <c r="C18">
        <v>0</v>
      </c>
      <c r="D18">
        <v>42790</v>
      </c>
      <c r="E18">
        <v>26994</v>
      </c>
      <c r="F18">
        <v>6170</v>
      </c>
      <c r="G18">
        <v>34982</v>
      </c>
      <c r="H18">
        <v>0</v>
      </c>
      <c r="I18">
        <v>0</v>
      </c>
      <c r="J18">
        <v>0</v>
      </c>
      <c r="K18">
        <v>0</v>
      </c>
      <c r="L18">
        <v>0</v>
      </c>
      <c r="M18">
        <v>0</v>
      </c>
    </row>
    <row r="19" spans="1:13" ht="12.75">
      <c r="A19" s="2" t="s">
        <v>544</v>
      </c>
      <c r="B19">
        <v>27</v>
      </c>
      <c r="C19">
        <v>0</v>
      </c>
      <c r="D19">
        <v>1442</v>
      </c>
      <c r="E19">
        <v>1251</v>
      </c>
      <c r="F19">
        <v>593</v>
      </c>
      <c r="G19">
        <v>5870</v>
      </c>
      <c r="H19">
        <v>0</v>
      </c>
      <c r="I19">
        <v>0</v>
      </c>
      <c r="J19">
        <v>0</v>
      </c>
      <c r="K19">
        <v>0</v>
      </c>
      <c r="L19">
        <v>0</v>
      </c>
      <c r="M19">
        <v>0</v>
      </c>
    </row>
    <row r="20" spans="1:13" ht="12.75">
      <c r="A20" s="2" t="s">
        <v>545</v>
      </c>
      <c r="B20">
        <v>4729</v>
      </c>
      <c r="C20">
        <v>0</v>
      </c>
      <c r="D20">
        <v>101375</v>
      </c>
      <c r="E20">
        <v>50083</v>
      </c>
      <c r="F20">
        <v>35420</v>
      </c>
      <c r="G20">
        <v>102210</v>
      </c>
      <c r="H20">
        <v>0</v>
      </c>
      <c r="I20">
        <v>0</v>
      </c>
      <c r="J20">
        <v>0</v>
      </c>
      <c r="K20">
        <v>0</v>
      </c>
      <c r="L20">
        <v>42961</v>
      </c>
      <c r="M20">
        <v>0</v>
      </c>
    </row>
    <row r="21" spans="1:13" ht="12.75">
      <c r="A21" s="2" t="s">
        <v>546</v>
      </c>
      <c r="B21">
        <v>317</v>
      </c>
      <c r="C21">
        <v>0</v>
      </c>
      <c r="D21">
        <v>17096</v>
      </c>
      <c r="E21">
        <v>13446</v>
      </c>
      <c r="F21">
        <v>9412</v>
      </c>
      <c r="G21">
        <v>7206</v>
      </c>
      <c r="H21">
        <v>0</v>
      </c>
      <c r="I21">
        <v>0</v>
      </c>
      <c r="J21">
        <v>0</v>
      </c>
      <c r="K21">
        <v>0</v>
      </c>
      <c r="L21">
        <v>0</v>
      </c>
      <c r="M21">
        <v>0</v>
      </c>
    </row>
    <row r="22" spans="1:13" ht="12.75">
      <c r="A22" s="2" t="s">
        <v>547</v>
      </c>
      <c r="B22">
        <v>1267</v>
      </c>
      <c r="C22">
        <v>0</v>
      </c>
      <c r="D22">
        <v>43707</v>
      </c>
      <c r="E22">
        <v>18000</v>
      </c>
      <c r="F22">
        <v>9558</v>
      </c>
      <c r="G22">
        <v>22250</v>
      </c>
      <c r="H22">
        <v>0</v>
      </c>
      <c r="I22">
        <v>0</v>
      </c>
      <c r="J22">
        <v>0</v>
      </c>
      <c r="K22">
        <v>0</v>
      </c>
      <c r="L22">
        <v>0</v>
      </c>
      <c r="M22">
        <v>0</v>
      </c>
    </row>
    <row r="23" spans="1:13" ht="12.75">
      <c r="A23" s="2" t="s">
        <v>548</v>
      </c>
      <c r="B23">
        <v>13066</v>
      </c>
      <c r="C23">
        <v>0</v>
      </c>
      <c r="D23">
        <v>503699</v>
      </c>
      <c r="E23">
        <v>199298</v>
      </c>
      <c r="F23">
        <v>144559</v>
      </c>
      <c r="G23">
        <v>226473</v>
      </c>
      <c r="H23">
        <v>0</v>
      </c>
      <c r="I23">
        <v>0</v>
      </c>
      <c r="J23">
        <v>0</v>
      </c>
      <c r="K23">
        <v>0</v>
      </c>
      <c r="L23">
        <v>0</v>
      </c>
      <c r="M23">
        <v>0</v>
      </c>
    </row>
    <row r="24" spans="1:13" ht="12.75">
      <c r="A24" s="2" t="s">
        <v>549</v>
      </c>
      <c r="B24">
        <v>633</v>
      </c>
      <c r="C24">
        <v>0</v>
      </c>
      <c r="D24">
        <v>0</v>
      </c>
      <c r="E24">
        <v>1649</v>
      </c>
      <c r="F24">
        <v>0</v>
      </c>
      <c r="G24">
        <v>0</v>
      </c>
      <c r="H24">
        <v>0</v>
      </c>
      <c r="I24">
        <v>0</v>
      </c>
      <c r="J24">
        <v>0</v>
      </c>
      <c r="K24">
        <v>0</v>
      </c>
      <c r="L24">
        <v>0</v>
      </c>
      <c r="M24">
        <v>0</v>
      </c>
    </row>
    <row r="25" spans="1:13" ht="12.75">
      <c r="A25" s="2" t="s">
        <v>550</v>
      </c>
      <c r="B25">
        <v>317</v>
      </c>
      <c r="C25">
        <v>5502</v>
      </c>
      <c r="D25">
        <v>0</v>
      </c>
      <c r="E25">
        <v>11993</v>
      </c>
      <c r="F25">
        <v>29100</v>
      </c>
      <c r="G25">
        <v>0</v>
      </c>
      <c r="H25">
        <v>0</v>
      </c>
      <c r="I25">
        <v>0</v>
      </c>
      <c r="J25">
        <v>0</v>
      </c>
      <c r="K25">
        <v>0</v>
      </c>
      <c r="L25">
        <v>0</v>
      </c>
      <c r="M25">
        <v>0</v>
      </c>
    </row>
    <row r="26" spans="1:13" ht="12.75">
      <c r="A26" s="2" t="s">
        <v>551</v>
      </c>
      <c r="B26">
        <v>317</v>
      </c>
      <c r="C26">
        <v>0</v>
      </c>
      <c r="D26">
        <v>0</v>
      </c>
      <c r="E26">
        <v>12500</v>
      </c>
      <c r="F26">
        <v>14802</v>
      </c>
      <c r="G26">
        <v>7251</v>
      </c>
      <c r="H26">
        <v>0</v>
      </c>
      <c r="I26">
        <v>0</v>
      </c>
      <c r="J26">
        <v>0</v>
      </c>
      <c r="K26">
        <v>0</v>
      </c>
      <c r="L26">
        <v>0</v>
      </c>
      <c r="M26">
        <v>0</v>
      </c>
    </row>
    <row r="27" spans="1:13" ht="12.75">
      <c r="A27" s="2" t="s">
        <v>552</v>
      </c>
      <c r="B27">
        <v>756</v>
      </c>
      <c r="C27">
        <v>0</v>
      </c>
      <c r="D27">
        <v>0</v>
      </c>
      <c r="E27">
        <v>3056</v>
      </c>
      <c r="F27">
        <v>0</v>
      </c>
      <c r="G27">
        <v>12265</v>
      </c>
      <c r="H27">
        <v>0</v>
      </c>
      <c r="I27">
        <v>0</v>
      </c>
      <c r="J27">
        <v>0</v>
      </c>
      <c r="K27">
        <v>0</v>
      </c>
      <c r="L27">
        <v>0</v>
      </c>
      <c r="M27">
        <v>0</v>
      </c>
    </row>
    <row r="28" spans="1:13" ht="12.75">
      <c r="A28" s="2" t="s">
        <v>553</v>
      </c>
      <c r="B28">
        <v>317</v>
      </c>
      <c r="C28">
        <v>0</v>
      </c>
      <c r="D28">
        <v>0</v>
      </c>
      <c r="E28">
        <v>1424</v>
      </c>
      <c r="F28">
        <v>0</v>
      </c>
      <c r="G28">
        <v>5660</v>
      </c>
      <c r="H28">
        <v>0</v>
      </c>
      <c r="I28">
        <v>0</v>
      </c>
      <c r="J28">
        <v>0</v>
      </c>
      <c r="K28">
        <v>0</v>
      </c>
      <c r="L28">
        <v>0</v>
      </c>
      <c r="M28">
        <v>0</v>
      </c>
    </row>
    <row r="29" spans="1:13" ht="12.75">
      <c r="A29" s="2" t="s">
        <v>554</v>
      </c>
      <c r="B29">
        <v>487</v>
      </c>
      <c r="C29">
        <v>0</v>
      </c>
      <c r="D29">
        <v>0</v>
      </c>
      <c r="E29">
        <v>1778</v>
      </c>
      <c r="F29">
        <v>0</v>
      </c>
      <c r="G29">
        <v>9121</v>
      </c>
      <c r="H29">
        <v>0</v>
      </c>
      <c r="I29">
        <v>0</v>
      </c>
      <c r="J29">
        <v>0</v>
      </c>
      <c r="K29">
        <v>0</v>
      </c>
      <c r="L29">
        <v>0</v>
      </c>
      <c r="M29">
        <v>0</v>
      </c>
    </row>
    <row r="30" spans="1:13" ht="12.75">
      <c r="A30" s="2" t="s">
        <v>555</v>
      </c>
      <c r="B30">
        <v>8467</v>
      </c>
      <c r="C30">
        <v>0</v>
      </c>
      <c r="D30">
        <v>0</v>
      </c>
      <c r="E30">
        <v>0</v>
      </c>
      <c r="F30">
        <v>0</v>
      </c>
      <c r="G30">
        <v>0</v>
      </c>
      <c r="H30">
        <v>0</v>
      </c>
      <c r="I30">
        <v>16962</v>
      </c>
      <c r="J30">
        <v>0</v>
      </c>
      <c r="K30">
        <v>0</v>
      </c>
      <c r="L30">
        <v>8647</v>
      </c>
      <c r="M30">
        <v>0</v>
      </c>
    </row>
    <row r="31" spans="1:13" ht="12.75">
      <c r="A31" s="2" t="s">
        <v>556</v>
      </c>
      <c r="B31">
        <v>231372</v>
      </c>
      <c r="C31">
        <v>0</v>
      </c>
      <c r="D31">
        <v>0</v>
      </c>
      <c r="E31">
        <v>0</v>
      </c>
      <c r="F31">
        <v>0</v>
      </c>
      <c r="G31">
        <v>0</v>
      </c>
      <c r="H31">
        <v>0</v>
      </c>
      <c r="I31">
        <v>520428</v>
      </c>
      <c r="J31">
        <v>0</v>
      </c>
      <c r="K31">
        <v>0</v>
      </c>
      <c r="L31">
        <v>191023</v>
      </c>
      <c r="M31">
        <v>0</v>
      </c>
    </row>
    <row r="32" spans="1:13" ht="12.75">
      <c r="A32" s="2" t="s">
        <v>557</v>
      </c>
      <c r="B32">
        <v>356</v>
      </c>
      <c r="C32">
        <v>0</v>
      </c>
      <c r="D32">
        <v>0</v>
      </c>
      <c r="E32">
        <v>0</v>
      </c>
      <c r="F32">
        <v>0</v>
      </c>
      <c r="G32">
        <v>0</v>
      </c>
      <c r="H32">
        <v>0</v>
      </c>
      <c r="I32">
        <v>1281</v>
      </c>
      <c r="J32">
        <v>0</v>
      </c>
      <c r="K32">
        <v>0</v>
      </c>
      <c r="L32">
        <v>0</v>
      </c>
      <c r="M32">
        <v>0</v>
      </c>
    </row>
    <row r="33" spans="1:13" ht="12.75">
      <c r="A33" s="2" t="s">
        <v>558</v>
      </c>
      <c r="B33">
        <v>1528</v>
      </c>
      <c r="C33">
        <v>0</v>
      </c>
      <c r="D33">
        <v>0</v>
      </c>
      <c r="E33">
        <v>0</v>
      </c>
      <c r="F33">
        <v>0</v>
      </c>
      <c r="G33">
        <v>0</v>
      </c>
      <c r="H33">
        <v>0</v>
      </c>
      <c r="I33">
        <v>6197</v>
      </c>
      <c r="J33">
        <v>0</v>
      </c>
      <c r="K33">
        <v>0</v>
      </c>
      <c r="L33">
        <v>0</v>
      </c>
      <c r="M33">
        <v>0</v>
      </c>
    </row>
    <row r="34" spans="1:13" ht="12.75">
      <c r="A34" s="2" t="s">
        <v>559</v>
      </c>
      <c r="B34">
        <v>27817</v>
      </c>
      <c r="C34">
        <v>0</v>
      </c>
      <c r="D34">
        <v>0</v>
      </c>
      <c r="E34">
        <v>0</v>
      </c>
      <c r="F34">
        <v>0</v>
      </c>
      <c r="G34">
        <v>0</v>
      </c>
      <c r="H34">
        <v>0</v>
      </c>
      <c r="I34">
        <v>101419</v>
      </c>
      <c r="J34">
        <v>0</v>
      </c>
      <c r="K34">
        <v>0</v>
      </c>
      <c r="L34">
        <v>18064</v>
      </c>
      <c r="M34">
        <v>0</v>
      </c>
    </row>
    <row r="35" spans="1:13" ht="12.75">
      <c r="A35" s="2" t="s">
        <v>560</v>
      </c>
      <c r="B35">
        <v>1058</v>
      </c>
      <c r="C35">
        <v>0</v>
      </c>
      <c r="D35">
        <v>0</v>
      </c>
      <c r="E35">
        <v>0</v>
      </c>
      <c r="F35">
        <v>0</v>
      </c>
      <c r="G35">
        <v>0</v>
      </c>
      <c r="H35">
        <v>0</v>
      </c>
      <c r="I35">
        <v>217</v>
      </c>
      <c r="J35">
        <v>0</v>
      </c>
      <c r="K35">
        <v>0</v>
      </c>
      <c r="L35">
        <v>0</v>
      </c>
      <c r="M35">
        <v>0</v>
      </c>
    </row>
    <row r="36" spans="1:13" ht="12.75">
      <c r="A36" s="2" t="s">
        <v>561</v>
      </c>
      <c r="B36">
        <v>6131</v>
      </c>
      <c r="C36">
        <v>0</v>
      </c>
      <c r="D36">
        <v>0</v>
      </c>
      <c r="E36">
        <v>0</v>
      </c>
      <c r="F36">
        <v>0</v>
      </c>
      <c r="G36">
        <v>0</v>
      </c>
      <c r="H36">
        <v>0</v>
      </c>
      <c r="I36">
        <v>1735</v>
      </c>
      <c r="J36">
        <v>0</v>
      </c>
      <c r="K36">
        <v>0</v>
      </c>
      <c r="L36">
        <v>0</v>
      </c>
      <c r="M36">
        <v>0</v>
      </c>
    </row>
    <row r="37" spans="1:13" ht="12.75">
      <c r="A37" s="2" t="s">
        <v>562</v>
      </c>
      <c r="B37">
        <v>423</v>
      </c>
      <c r="C37">
        <v>0</v>
      </c>
      <c r="D37">
        <v>0</v>
      </c>
      <c r="E37">
        <v>0</v>
      </c>
      <c r="F37">
        <v>0</v>
      </c>
      <c r="G37">
        <v>0</v>
      </c>
      <c r="H37">
        <v>0</v>
      </c>
      <c r="I37">
        <v>0</v>
      </c>
      <c r="J37">
        <v>0</v>
      </c>
      <c r="K37">
        <v>0</v>
      </c>
      <c r="L37">
        <v>0</v>
      </c>
      <c r="M37">
        <v>0</v>
      </c>
    </row>
    <row r="38" spans="1:13" ht="12.75">
      <c r="A38" s="2" t="s">
        <v>563</v>
      </c>
      <c r="B38">
        <v>15175</v>
      </c>
      <c r="C38">
        <v>0</v>
      </c>
      <c r="D38">
        <v>0</v>
      </c>
      <c r="E38">
        <v>0</v>
      </c>
      <c r="F38">
        <v>0</v>
      </c>
      <c r="G38">
        <v>0</v>
      </c>
      <c r="H38">
        <v>0</v>
      </c>
      <c r="I38">
        <v>0</v>
      </c>
      <c r="J38">
        <v>0</v>
      </c>
      <c r="K38">
        <v>0</v>
      </c>
      <c r="L38">
        <v>6738</v>
      </c>
      <c r="M38">
        <v>0</v>
      </c>
    </row>
    <row r="39" spans="1:13" ht="12.75">
      <c r="A39" s="2" t="s">
        <v>746</v>
      </c>
      <c r="B39">
        <v>16</v>
      </c>
      <c r="C39">
        <v>0</v>
      </c>
      <c r="D39">
        <v>0</v>
      </c>
      <c r="E39">
        <v>0</v>
      </c>
      <c r="F39">
        <v>0</v>
      </c>
      <c r="G39">
        <v>0</v>
      </c>
      <c r="H39">
        <v>0</v>
      </c>
      <c r="I39">
        <v>64</v>
      </c>
      <c r="J39">
        <v>0</v>
      </c>
      <c r="K39">
        <v>0</v>
      </c>
      <c r="L39">
        <v>0</v>
      </c>
      <c r="M39">
        <v>0</v>
      </c>
    </row>
    <row r="40" spans="1:13" ht="12.75">
      <c r="A40" s="2" t="s">
        <v>564</v>
      </c>
      <c r="B40">
        <v>317</v>
      </c>
      <c r="C40">
        <v>0</v>
      </c>
      <c r="D40">
        <v>0</v>
      </c>
      <c r="E40">
        <v>5500</v>
      </c>
      <c r="F40">
        <v>9499</v>
      </c>
      <c r="G40">
        <v>0</v>
      </c>
      <c r="H40">
        <v>0</v>
      </c>
      <c r="I40">
        <v>0</v>
      </c>
      <c r="J40">
        <v>0</v>
      </c>
      <c r="K40">
        <v>0</v>
      </c>
      <c r="L40">
        <v>0</v>
      </c>
      <c r="M40">
        <v>0</v>
      </c>
    </row>
    <row r="41" spans="1:13" ht="12.75">
      <c r="A41" s="2" t="s">
        <v>565</v>
      </c>
      <c r="B41">
        <v>634</v>
      </c>
      <c r="C41">
        <v>20436</v>
      </c>
      <c r="D41">
        <v>0</v>
      </c>
      <c r="E41">
        <v>37608</v>
      </c>
      <c r="F41">
        <v>62895</v>
      </c>
      <c r="G41">
        <v>19600</v>
      </c>
      <c r="H41">
        <v>0</v>
      </c>
      <c r="I41">
        <v>0</v>
      </c>
      <c r="J41">
        <v>0</v>
      </c>
      <c r="K41">
        <v>0</v>
      </c>
      <c r="L41">
        <v>0</v>
      </c>
      <c r="M41">
        <v>0</v>
      </c>
    </row>
    <row r="42" spans="1:13" ht="12.75">
      <c r="A42" s="2" t="s">
        <v>566</v>
      </c>
      <c r="B42">
        <v>444</v>
      </c>
      <c r="C42">
        <v>0</v>
      </c>
      <c r="D42">
        <v>0</v>
      </c>
      <c r="E42">
        <v>17156</v>
      </c>
      <c r="F42">
        <v>17161</v>
      </c>
      <c r="G42">
        <v>15862</v>
      </c>
      <c r="H42">
        <v>0</v>
      </c>
      <c r="I42">
        <v>0</v>
      </c>
      <c r="J42">
        <v>0</v>
      </c>
      <c r="K42">
        <v>0</v>
      </c>
      <c r="L42">
        <v>0</v>
      </c>
      <c r="M42">
        <v>0</v>
      </c>
    </row>
    <row r="43" spans="1:13" ht="12.75">
      <c r="A43" s="2" t="s">
        <v>567</v>
      </c>
      <c r="B43">
        <v>477</v>
      </c>
      <c r="C43">
        <v>0</v>
      </c>
      <c r="D43">
        <v>0</v>
      </c>
      <c r="E43">
        <v>4713</v>
      </c>
      <c r="F43">
        <v>130</v>
      </c>
      <c r="G43">
        <v>7270</v>
      </c>
      <c r="H43">
        <v>0</v>
      </c>
      <c r="I43">
        <v>0</v>
      </c>
      <c r="J43">
        <v>0</v>
      </c>
      <c r="K43">
        <v>0</v>
      </c>
      <c r="L43">
        <v>0</v>
      </c>
      <c r="M43">
        <v>0</v>
      </c>
    </row>
    <row r="44" spans="1:13" ht="12.75">
      <c r="A44" s="2" t="s">
        <v>568</v>
      </c>
      <c r="B44">
        <v>317</v>
      </c>
      <c r="C44">
        <v>10218</v>
      </c>
      <c r="D44">
        <v>0</v>
      </c>
      <c r="E44">
        <v>18000</v>
      </c>
      <c r="F44">
        <v>22571</v>
      </c>
      <c r="G44">
        <v>9823</v>
      </c>
      <c r="H44">
        <v>0</v>
      </c>
      <c r="I44">
        <v>0</v>
      </c>
      <c r="J44">
        <v>0</v>
      </c>
      <c r="K44">
        <v>0</v>
      </c>
      <c r="L44">
        <v>0</v>
      </c>
      <c r="M44">
        <v>0</v>
      </c>
    </row>
    <row r="45" spans="1:13" ht="12.75">
      <c r="A45" s="2" t="s">
        <v>569</v>
      </c>
      <c r="B45">
        <v>317</v>
      </c>
      <c r="C45">
        <v>2993</v>
      </c>
      <c r="D45">
        <v>0</v>
      </c>
      <c r="E45">
        <v>13308</v>
      </c>
      <c r="F45">
        <v>35868</v>
      </c>
      <c r="G45">
        <v>17671</v>
      </c>
      <c r="H45">
        <v>0</v>
      </c>
      <c r="I45">
        <v>0</v>
      </c>
      <c r="J45">
        <v>0</v>
      </c>
      <c r="K45">
        <v>0</v>
      </c>
      <c r="L45">
        <v>0</v>
      </c>
      <c r="M45">
        <v>0</v>
      </c>
    </row>
    <row r="46" spans="1:13" ht="12.75">
      <c r="A46" s="2" t="s">
        <v>570</v>
      </c>
      <c r="B46">
        <v>1104</v>
      </c>
      <c r="C46">
        <v>0</v>
      </c>
      <c r="D46">
        <v>0</v>
      </c>
      <c r="E46">
        <v>0</v>
      </c>
      <c r="F46">
        <v>0</v>
      </c>
      <c r="G46">
        <v>0</v>
      </c>
      <c r="H46">
        <v>0</v>
      </c>
      <c r="I46">
        <v>0</v>
      </c>
      <c r="J46">
        <v>0</v>
      </c>
      <c r="K46">
        <v>0</v>
      </c>
      <c r="L46">
        <v>0</v>
      </c>
      <c r="M46">
        <v>0</v>
      </c>
    </row>
    <row r="47" spans="1:13" ht="12.75">
      <c r="A47" s="2" t="s">
        <v>571</v>
      </c>
      <c r="B47">
        <v>4705</v>
      </c>
      <c r="C47">
        <v>0</v>
      </c>
      <c r="D47">
        <v>0</v>
      </c>
      <c r="E47">
        <v>0</v>
      </c>
      <c r="F47">
        <v>0</v>
      </c>
      <c r="G47">
        <v>0</v>
      </c>
      <c r="H47">
        <v>0</v>
      </c>
      <c r="I47">
        <v>0</v>
      </c>
      <c r="J47">
        <v>0</v>
      </c>
      <c r="K47">
        <v>0</v>
      </c>
      <c r="L47">
        <v>3355</v>
      </c>
      <c r="M47">
        <v>0</v>
      </c>
    </row>
    <row r="48" spans="1:13" ht="12.75">
      <c r="A48" s="2" t="s">
        <v>572</v>
      </c>
      <c r="B48">
        <v>657</v>
      </c>
      <c r="C48">
        <v>0</v>
      </c>
      <c r="D48">
        <v>0</v>
      </c>
      <c r="E48">
        <v>0</v>
      </c>
      <c r="F48">
        <v>0</v>
      </c>
      <c r="G48">
        <v>0</v>
      </c>
      <c r="H48">
        <v>0</v>
      </c>
      <c r="I48">
        <v>0</v>
      </c>
      <c r="J48">
        <v>0</v>
      </c>
      <c r="K48">
        <v>0</v>
      </c>
      <c r="L48">
        <v>0</v>
      </c>
      <c r="M48">
        <v>0</v>
      </c>
    </row>
    <row r="49" spans="1:13" ht="12.75">
      <c r="A49" s="2" t="s">
        <v>573</v>
      </c>
      <c r="B49">
        <v>1997</v>
      </c>
      <c r="C49">
        <v>0</v>
      </c>
      <c r="D49">
        <v>0</v>
      </c>
      <c r="E49">
        <v>0</v>
      </c>
      <c r="F49">
        <v>0</v>
      </c>
      <c r="G49">
        <v>0</v>
      </c>
      <c r="H49">
        <v>0</v>
      </c>
      <c r="I49">
        <v>0</v>
      </c>
      <c r="J49">
        <v>0</v>
      </c>
      <c r="K49">
        <v>0</v>
      </c>
      <c r="L49">
        <v>0</v>
      </c>
      <c r="M49">
        <v>0</v>
      </c>
    </row>
    <row r="50" spans="1:13" ht="12.75">
      <c r="A50" s="2" t="s">
        <v>574</v>
      </c>
      <c r="B50">
        <v>2547</v>
      </c>
      <c r="C50">
        <v>0</v>
      </c>
      <c r="D50">
        <v>0</v>
      </c>
      <c r="E50">
        <v>0</v>
      </c>
      <c r="F50">
        <v>0</v>
      </c>
      <c r="G50">
        <v>0</v>
      </c>
      <c r="H50">
        <v>0</v>
      </c>
      <c r="I50">
        <v>0</v>
      </c>
      <c r="J50">
        <v>0</v>
      </c>
      <c r="K50">
        <v>0</v>
      </c>
      <c r="L50">
        <v>4638</v>
      </c>
      <c r="M50">
        <v>0</v>
      </c>
    </row>
    <row r="51" spans="1:13" ht="12.75">
      <c r="A51" s="2" t="s">
        <v>575</v>
      </c>
      <c r="B51">
        <v>907</v>
      </c>
      <c r="C51">
        <v>0</v>
      </c>
      <c r="D51">
        <v>0</v>
      </c>
      <c r="E51">
        <v>0</v>
      </c>
      <c r="F51">
        <v>0</v>
      </c>
      <c r="G51">
        <v>0</v>
      </c>
      <c r="H51">
        <v>0</v>
      </c>
      <c r="I51">
        <v>0</v>
      </c>
      <c r="J51">
        <v>0</v>
      </c>
      <c r="K51">
        <v>0</v>
      </c>
      <c r="L51">
        <v>0</v>
      </c>
      <c r="M51">
        <v>0</v>
      </c>
    </row>
    <row r="52" spans="1:13" ht="12.75">
      <c r="A52" s="2" t="s">
        <v>576</v>
      </c>
      <c r="B52">
        <v>720</v>
      </c>
      <c r="C52">
        <v>0</v>
      </c>
      <c r="D52">
        <v>0</v>
      </c>
      <c r="E52">
        <v>0</v>
      </c>
      <c r="F52">
        <v>0</v>
      </c>
      <c r="G52">
        <v>0</v>
      </c>
      <c r="H52">
        <v>0</v>
      </c>
      <c r="I52">
        <v>967</v>
      </c>
      <c r="J52">
        <v>0</v>
      </c>
      <c r="K52">
        <v>0</v>
      </c>
      <c r="L52">
        <v>0</v>
      </c>
      <c r="M52">
        <v>0</v>
      </c>
    </row>
    <row r="53" spans="1:13" ht="12.75">
      <c r="A53" s="2" t="s">
        <v>577</v>
      </c>
      <c r="B53">
        <v>723</v>
      </c>
      <c r="C53">
        <v>0</v>
      </c>
      <c r="D53">
        <v>0</v>
      </c>
      <c r="E53">
        <v>0</v>
      </c>
      <c r="F53">
        <v>0</v>
      </c>
      <c r="G53">
        <v>0</v>
      </c>
      <c r="H53">
        <v>0</v>
      </c>
      <c r="I53">
        <v>0</v>
      </c>
      <c r="J53">
        <v>0</v>
      </c>
      <c r="K53">
        <v>0</v>
      </c>
      <c r="L53">
        <v>0</v>
      </c>
      <c r="M53">
        <v>0</v>
      </c>
    </row>
    <row r="54" spans="1:13" ht="12.75">
      <c r="A54" s="2" t="s">
        <v>578</v>
      </c>
      <c r="B54">
        <v>15560</v>
      </c>
      <c r="C54">
        <v>0</v>
      </c>
      <c r="D54">
        <v>0</v>
      </c>
      <c r="E54">
        <v>0</v>
      </c>
      <c r="F54">
        <v>0</v>
      </c>
      <c r="G54">
        <v>0</v>
      </c>
      <c r="H54">
        <v>0</v>
      </c>
      <c r="I54">
        <v>0</v>
      </c>
      <c r="J54">
        <v>0</v>
      </c>
      <c r="K54">
        <v>0</v>
      </c>
      <c r="L54">
        <v>25974</v>
      </c>
      <c r="M54">
        <v>0</v>
      </c>
    </row>
    <row r="55" spans="1:13" ht="12.75">
      <c r="A55" s="2" t="s">
        <v>579</v>
      </c>
      <c r="B55">
        <v>9689</v>
      </c>
      <c r="C55">
        <v>0</v>
      </c>
      <c r="D55">
        <v>0</v>
      </c>
      <c r="E55">
        <v>0</v>
      </c>
      <c r="F55">
        <v>0</v>
      </c>
      <c r="G55">
        <v>0</v>
      </c>
      <c r="H55">
        <v>0</v>
      </c>
      <c r="I55">
        <v>0</v>
      </c>
      <c r="J55">
        <v>0</v>
      </c>
      <c r="K55">
        <v>0</v>
      </c>
      <c r="L55">
        <v>0</v>
      </c>
      <c r="M55">
        <v>0</v>
      </c>
    </row>
    <row r="56" spans="1:13" ht="12.75">
      <c r="A56" s="2" t="s">
        <v>580</v>
      </c>
      <c r="B56">
        <v>158</v>
      </c>
      <c r="C56">
        <v>0</v>
      </c>
      <c r="D56">
        <v>0</v>
      </c>
      <c r="E56">
        <v>0</v>
      </c>
      <c r="F56">
        <v>0</v>
      </c>
      <c r="G56">
        <v>0</v>
      </c>
      <c r="H56">
        <v>0</v>
      </c>
      <c r="I56">
        <v>0</v>
      </c>
      <c r="J56">
        <v>0</v>
      </c>
      <c r="K56">
        <v>0</v>
      </c>
      <c r="L56">
        <v>0</v>
      </c>
      <c r="M56">
        <v>0</v>
      </c>
    </row>
    <row r="57" spans="1:13" ht="12.75">
      <c r="A57" s="2" t="s">
        <v>581</v>
      </c>
      <c r="B57">
        <v>13312</v>
      </c>
      <c r="C57">
        <v>0</v>
      </c>
      <c r="D57">
        <v>0</v>
      </c>
      <c r="E57">
        <v>0</v>
      </c>
      <c r="F57">
        <v>0</v>
      </c>
      <c r="G57">
        <v>0</v>
      </c>
      <c r="H57">
        <v>0</v>
      </c>
      <c r="I57">
        <v>278</v>
      </c>
      <c r="J57">
        <v>0</v>
      </c>
      <c r="K57">
        <v>0</v>
      </c>
      <c r="L57">
        <v>0</v>
      </c>
      <c r="M57">
        <v>0</v>
      </c>
    </row>
    <row r="58" spans="1:13" ht="12.75">
      <c r="A58" s="2" t="s">
        <v>582</v>
      </c>
      <c r="B58">
        <v>317</v>
      </c>
      <c r="C58">
        <v>0</v>
      </c>
      <c r="D58">
        <v>0</v>
      </c>
      <c r="E58">
        <v>11500</v>
      </c>
      <c r="F58">
        <v>10834</v>
      </c>
      <c r="G58">
        <v>8632</v>
      </c>
      <c r="H58">
        <v>0</v>
      </c>
      <c r="I58">
        <v>0</v>
      </c>
      <c r="J58">
        <v>0</v>
      </c>
      <c r="K58">
        <v>0</v>
      </c>
      <c r="L58">
        <v>0</v>
      </c>
      <c r="M58">
        <v>0</v>
      </c>
    </row>
    <row r="59" spans="1:13" ht="12.75">
      <c r="A59" s="2" t="s">
        <v>583</v>
      </c>
      <c r="B59">
        <v>2117</v>
      </c>
      <c r="C59">
        <v>0</v>
      </c>
      <c r="D59">
        <v>0</v>
      </c>
      <c r="E59">
        <v>26018</v>
      </c>
      <c r="F59">
        <v>20460</v>
      </c>
      <c r="G59">
        <v>54695</v>
      </c>
      <c r="H59">
        <v>0</v>
      </c>
      <c r="I59">
        <v>0</v>
      </c>
      <c r="J59">
        <v>0</v>
      </c>
      <c r="K59">
        <v>0</v>
      </c>
      <c r="L59">
        <v>0</v>
      </c>
      <c r="M59">
        <v>0</v>
      </c>
    </row>
    <row r="60" spans="1:13" ht="12.75">
      <c r="A60" s="2" t="s">
        <v>584</v>
      </c>
      <c r="B60">
        <v>969</v>
      </c>
      <c r="C60">
        <v>0</v>
      </c>
      <c r="D60">
        <v>0</v>
      </c>
      <c r="E60">
        <v>17</v>
      </c>
      <c r="F60">
        <v>0</v>
      </c>
      <c r="G60">
        <v>0</v>
      </c>
      <c r="H60">
        <v>0</v>
      </c>
      <c r="I60">
        <v>0</v>
      </c>
      <c r="J60">
        <v>0</v>
      </c>
      <c r="K60">
        <v>318</v>
      </c>
      <c r="L60">
        <v>0</v>
      </c>
      <c r="M60">
        <v>0</v>
      </c>
    </row>
    <row r="61" spans="1:13" ht="12.75">
      <c r="A61" s="2" t="s">
        <v>585</v>
      </c>
      <c r="B61">
        <v>12751</v>
      </c>
      <c r="C61">
        <v>0</v>
      </c>
      <c r="D61">
        <v>0</v>
      </c>
      <c r="E61">
        <v>0</v>
      </c>
      <c r="F61">
        <v>0</v>
      </c>
      <c r="G61">
        <v>0</v>
      </c>
      <c r="H61">
        <v>0</v>
      </c>
      <c r="I61">
        <v>0</v>
      </c>
      <c r="J61">
        <v>0</v>
      </c>
      <c r="K61">
        <v>2237</v>
      </c>
      <c r="L61">
        <v>8092</v>
      </c>
      <c r="M61">
        <v>0</v>
      </c>
    </row>
    <row r="62" spans="1:13" ht="12.75">
      <c r="A62" s="2" t="s">
        <v>586</v>
      </c>
      <c r="B62">
        <v>21851</v>
      </c>
      <c r="C62">
        <v>0</v>
      </c>
      <c r="D62">
        <v>0</v>
      </c>
      <c r="E62">
        <v>0</v>
      </c>
      <c r="F62">
        <v>0</v>
      </c>
      <c r="G62">
        <v>0</v>
      </c>
      <c r="H62">
        <v>0</v>
      </c>
      <c r="I62">
        <v>0</v>
      </c>
      <c r="J62">
        <v>0</v>
      </c>
      <c r="K62">
        <v>21330</v>
      </c>
      <c r="L62">
        <v>52384</v>
      </c>
      <c r="M62">
        <v>0</v>
      </c>
    </row>
    <row r="63" spans="1:13" ht="12.75">
      <c r="A63" s="2" t="s">
        <v>587</v>
      </c>
      <c r="B63">
        <v>367</v>
      </c>
      <c r="C63">
        <v>0</v>
      </c>
      <c r="D63">
        <v>0</v>
      </c>
      <c r="E63">
        <v>0</v>
      </c>
      <c r="F63">
        <v>0</v>
      </c>
      <c r="G63">
        <v>0</v>
      </c>
      <c r="H63">
        <v>0</v>
      </c>
      <c r="I63">
        <v>0</v>
      </c>
      <c r="J63">
        <v>0</v>
      </c>
      <c r="K63">
        <v>0</v>
      </c>
      <c r="L63">
        <v>0</v>
      </c>
      <c r="M63">
        <v>0</v>
      </c>
    </row>
    <row r="64" spans="1:13" ht="12.75">
      <c r="A64" s="2" t="s">
        <v>588</v>
      </c>
      <c r="B64">
        <v>4914</v>
      </c>
      <c r="C64">
        <v>0</v>
      </c>
      <c r="D64">
        <v>0</v>
      </c>
      <c r="E64">
        <v>0</v>
      </c>
      <c r="F64">
        <v>0</v>
      </c>
      <c r="G64">
        <v>0</v>
      </c>
      <c r="H64">
        <v>0</v>
      </c>
      <c r="I64">
        <v>0</v>
      </c>
      <c r="J64">
        <v>0</v>
      </c>
      <c r="K64">
        <v>0</v>
      </c>
      <c r="L64">
        <v>0</v>
      </c>
      <c r="M64">
        <v>0</v>
      </c>
    </row>
    <row r="65" spans="1:13" ht="12.75">
      <c r="A65" s="2" t="s">
        <v>589</v>
      </c>
      <c r="B65">
        <v>665</v>
      </c>
      <c r="C65">
        <v>0</v>
      </c>
      <c r="D65">
        <v>0</v>
      </c>
      <c r="E65">
        <v>0</v>
      </c>
      <c r="F65">
        <v>0</v>
      </c>
      <c r="G65">
        <v>0</v>
      </c>
      <c r="H65">
        <v>0</v>
      </c>
      <c r="I65">
        <v>0</v>
      </c>
      <c r="J65">
        <v>0</v>
      </c>
      <c r="K65">
        <v>0</v>
      </c>
      <c r="L65">
        <v>0</v>
      </c>
      <c r="M65">
        <v>0</v>
      </c>
    </row>
    <row r="66" spans="1:13" ht="12.75">
      <c r="A66" s="2" t="s">
        <v>203</v>
      </c>
      <c r="B66" s="2">
        <f aca="true" t="shared" si="0" ref="B66:M66">SUM(B7:B65)</f>
        <v>573599</v>
      </c>
      <c r="C66" s="2">
        <f t="shared" si="0"/>
        <v>375633</v>
      </c>
      <c r="D66" s="2">
        <f t="shared" si="0"/>
        <v>6520593</v>
      </c>
      <c r="E66" s="2">
        <f t="shared" si="0"/>
        <v>3251301</v>
      </c>
      <c r="F66" s="2">
        <f t="shared" si="0"/>
        <v>2506957</v>
      </c>
      <c r="G66" s="2">
        <f t="shared" si="0"/>
        <v>2828990</v>
      </c>
      <c r="H66" s="2">
        <f t="shared" si="0"/>
        <v>4201734</v>
      </c>
      <c r="I66" s="2">
        <f t="shared" si="0"/>
        <v>649548</v>
      </c>
      <c r="J66" s="2">
        <f t="shared" si="0"/>
        <v>144929</v>
      </c>
      <c r="K66" s="2">
        <f t="shared" si="0"/>
        <v>23885</v>
      </c>
      <c r="L66" s="2">
        <f t="shared" si="0"/>
        <v>417268</v>
      </c>
      <c r="M66" s="2">
        <f t="shared" si="0"/>
        <v>0</v>
      </c>
    </row>
    <row r="68" ht="12.75">
      <c r="A68" s="2" t="s">
        <v>825</v>
      </c>
    </row>
    <row r="69" spans="1:15" ht="12.75">
      <c r="A69" s="2" t="s">
        <v>522</v>
      </c>
      <c r="B69" s="2" t="s">
        <v>826</v>
      </c>
      <c r="C69" s="2" t="s">
        <v>827</v>
      </c>
      <c r="D69" s="2" t="s">
        <v>828</v>
      </c>
      <c r="E69" s="2" t="s">
        <v>829</v>
      </c>
      <c r="F69" s="2" t="s">
        <v>830</v>
      </c>
      <c r="G69" s="2" t="s">
        <v>831</v>
      </c>
      <c r="H69" s="2" t="s">
        <v>832</v>
      </c>
      <c r="I69" s="2" t="s">
        <v>833</v>
      </c>
      <c r="J69" s="2" t="s">
        <v>834</v>
      </c>
      <c r="K69" s="2" t="s">
        <v>835</v>
      </c>
      <c r="L69" s="2" t="s">
        <v>836</v>
      </c>
      <c r="M69" s="2" t="s">
        <v>837</v>
      </c>
      <c r="N69" s="2" t="s">
        <v>838</v>
      </c>
      <c r="O69" s="2" t="s">
        <v>839</v>
      </c>
    </row>
    <row r="70" spans="1:15" ht="12.75">
      <c r="A70" s="2" t="s">
        <v>533</v>
      </c>
      <c r="B70">
        <v>0</v>
      </c>
      <c r="C70">
        <v>6448</v>
      </c>
      <c r="D70">
        <v>14186</v>
      </c>
      <c r="E70">
        <v>0</v>
      </c>
      <c r="F70">
        <v>0</v>
      </c>
      <c r="G70">
        <v>0</v>
      </c>
      <c r="H70">
        <v>0</v>
      </c>
      <c r="I70">
        <v>0</v>
      </c>
      <c r="J70">
        <v>0</v>
      </c>
      <c r="K70">
        <v>520</v>
      </c>
      <c r="L70">
        <v>0</v>
      </c>
      <c r="M70">
        <v>11749</v>
      </c>
      <c r="N70">
        <v>11421</v>
      </c>
      <c r="O70">
        <v>1995</v>
      </c>
    </row>
    <row r="71" spans="1:15" ht="12.75">
      <c r="A71" s="2" t="s">
        <v>534</v>
      </c>
      <c r="B71">
        <v>0</v>
      </c>
      <c r="C71">
        <v>1226</v>
      </c>
      <c r="D71">
        <v>2890</v>
      </c>
      <c r="E71">
        <v>0</v>
      </c>
      <c r="F71">
        <v>0</v>
      </c>
      <c r="G71">
        <v>0</v>
      </c>
      <c r="H71">
        <v>0</v>
      </c>
      <c r="I71">
        <v>0</v>
      </c>
      <c r="J71">
        <v>0</v>
      </c>
      <c r="K71">
        <v>0</v>
      </c>
      <c r="L71">
        <v>0</v>
      </c>
      <c r="M71">
        <v>463</v>
      </c>
      <c r="N71">
        <v>0</v>
      </c>
      <c r="O71">
        <v>0</v>
      </c>
    </row>
    <row r="72" spans="1:15" ht="12.75">
      <c r="A72" s="2" t="s">
        <v>535</v>
      </c>
      <c r="B72">
        <v>0</v>
      </c>
      <c r="C72">
        <v>19252</v>
      </c>
      <c r="D72">
        <v>25943</v>
      </c>
      <c r="E72">
        <v>0</v>
      </c>
      <c r="F72">
        <v>0</v>
      </c>
      <c r="G72">
        <v>0</v>
      </c>
      <c r="H72">
        <v>0</v>
      </c>
      <c r="I72">
        <v>0</v>
      </c>
      <c r="J72">
        <v>0</v>
      </c>
      <c r="K72">
        <v>40234</v>
      </c>
      <c r="L72">
        <v>0</v>
      </c>
      <c r="M72">
        <v>9703</v>
      </c>
      <c r="N72">
        <v>35507</v>
      </c>
      <c r="O72">
        <v>10408</v>
      </c>
    </row>
    <row r="73" spans="1:15" ht="12.75">
      <c r="A73" s="2" t="s">
        <v>536</v>
      </c>
      <c r="B73">
        <v>0</v>
      </c>
      <c r="C73">
        <v>3657</v>
      </c>
      <c r="D73">
        <v>5295</v>
      </c>
      <c r="E73">
        <v>0</v>
      </c>
      <c r="F73">
        <v>0</v>
      </c>
      <c r="G73">
        <v>0</v>
      </c>
      <c r="H73">
        <v>0</v>
      </c>
      <c r="I73">
        <v>0</v>
      </c>
      <c r="J73">
        <v>0</v>
      </c>
      <c r="K73">
        <v>5500</v>
      </c>
      <c r="L73">
        <v>0</v>
      </c>
      <c r="M73">
        <v>3194</v>
      </c>
      <c r="N73">
        <v>7085</v>
      </c>
      <c r="O73">
        <v>1499</v>
      </c>
    </row>
    <row r="74" spans="1:15" ht="12.75">
      <c r="A74" s="2" t="s">
        <v>537</v>
      </c>
      <c r="B74">
        <v>0</v>
      </c>
      <c r="C74">
        <v>187466</v>
      </c>
      <c r="D74">
        <v>212250</v>
      </c>
      <c r="E74">
        <v>0</v>
      </c>
      <c r="F74">
        <v>0</v>
      </c>
      <c r="G74">
        <v>0</v>
      </c>
      <c r="H74">
        <v>0</v>
      </c>
      <c r="I74">
        <v>0</v>
      </c>
      <c r="J74">
        <v>0</v>
      </c>
      <c r="K74">
        <v>712833</v>
      </c>
      <c r="L74">
        <v>2078</v>
      </c>
      <c r="M74">
        <v>135076</v>
      </c>
      <c r="N74">
        <v>56640</v>
      </c>
      <c r="O74">
        <v>230808</v>
      </c>
    </row>
    <row r="75" spans="1:15" ht="12.75">
      <c r="A75" s="2" t="s">
        <v>538</v>
      </c>
      <c r="B75">
        <v>0</v>
      </c>
      <c r="C75">
        <v>41351</v>
      </c>
      <c r="D75">
        <v>75178</v>
      </c>
      <c r="E75">
        <v>0</v>
      </c>
      <c r="F75">
        <v>0</v>
      </c>
      <c r="G75">
        <v>0</v>
      </c>
      <c r="H75">
        <v>0</v>
      </c>
      <c r="I75">
        <v>0</v>
      </c>
      <c r="J75">
        <v>0</v>
      </c>
      <c r="K75">
        <v>124100</v>
      </c>
      <c r="L75">
        <v>0</v>
      </c>
      <c r="M75">
        <v>32643</v>
      </c>
      <c r="N75">
        <v>7437</v>
      </c>
      <c r="O75">
        <v>77527</v>
      </c>
    </row>
    <row r="76" spans="1:15" ht="12.75">
      <c r="A76" s="2" t="s">
        <v>744</v>
      </c>
      <c r="B76">
        <v>0</v>
      </c>
      <c r="C76">
        <v>480</v>
      </c>
      <c r="D76">
        <v>0</v>
      </c>
      <c r="E76">
        <v>0</v>
      </c>
      <c r="F76">
        <v>0</v>
      </c>
      <c r="G76">
        <v>0</v>
      </c>
      <c r="H76">
        <v>0</v>
      </c>
      <c r="I76">
        <v>0</v>
      </c>
      <c r="J76">
        <v>0</v>
      </c>
      <c r="K76">
        <v>0</v>
      </c>
      <c r="L76">
        <v>0</v>
      </c>
      <c r="M76">
        <v>5893</v>
      </c>
      <c r="N76">
        <v>0</v>
      </c>
      <c r="O76">
        <v>0</v>
      </c>
    </row>
    <row r="77" spans="1:15" ht="12.75">
      <c r="A77" s="2" t="s">
        <v>539</v>
      </c>
      <c r="B77">
        <v>0</v>
      </c>
      <c r="C77">
        <v>3912</v>
      </c>
      <c r="D77">
        <v>7085</v>
      </c>
      <c r="E77">
        <v>0</v>
      </c>
      <c r="F77">
        <v>0</v>
      </c>
      <c r="G77">
        <v>0</v>
      </c>
      <c r="H77">
        <v>0</v>
      </c>
      <c r="I77">
        <v>0</v>
      </c>
      <c r="J77">
        <v>0</v>
      </c>
      <c r="K77">
        <v>0</v>
      </c>
      <c r="L77">
        <v>0</v>
      </c>
      <c r="M77">
        <v>3638</v>
      </c>
      <c r="N77">
        <v>10172</v>
      </c>
      <c r="O77">
        <v>692</v>
      </c>
    </row>
    <row r="78" spans="1:15" ht="12.75">
      <c r="A78" s="2" t="s">
        <v>540</v>
      </c>
      <c r="B78">
        <v>0</v>
      </c>
      <c r="C78">
        <v>28318</v>
      </c>
      <c r="D78">
        <v>35486</v>
      </c>
      <c r="E78">
        <v>0</v>
      </c>
      <c r="F78">
        <v>0</v>
      </c>
      <c r="G78">
        <v>0</v>
      </c>
      <c r="H78">
        <v>0</v>
      </c>
      <c r="I78">
        <v>0</v>
      </c>
      <c r="J78">
        <v>0</v>
      </c>
      <c r="K78">
        <v>0</v>
      </c>
      <c r="L78">
        <v>2896</v>
      </c>
      <c r="M78">
        <v>4277</v>
      </c>
      <c r="N78">
        <v>11774</v>
      </c>
      <c r="O78">
        <v>5453</v>
      </c>
    </row>
    <row r="79" spans="1:15" ht="12.75">
      <c r="A79" s="2" t="s">
        <v>542</v>
      </c>
      <c r="B79">
        <v>0</v>
      </c>
      <c r="C79">
        <v>960</v>
      </c>
      <c r="D79">
        <v>2681</v>
      </c>
      <c r="E79">
        <v>0</v>
      </c>
      <c r="F79">
        <v>0</v>
      </c>
      <c r="G79">
        <v>0</v>
      </c>
      <c r="H79">
        <v>0</v>
      </c>
      <c r="I79">
        <v>0</v>
      </c>
      <c r="J79">
        <v>0</v>
      </c>
      <c r="K79">
        <v>0</v>
      </c>
      <c r="L79">
        <v>0</v>
      </c>
      <c r="M79">
        <v>225</v>
      </c>
      <c r="N79">
        <v>0</v>
      </c>
      <c r="O79">
        <v>1566</v>
      </c>
    </row>
    <row r="80" spans="1:15" ht="12.75">
      <c r="A80" s="2" t="s">
        <v>543</v>
      </c>
      <c r="B80">
        <v>0</v>
      </c>
      <c r="C80">
        <v>1098</v>
      </c>
      <c r="D80">
        <v>7877</v>
      </c>
      <c r="E80">
        <v>0</v>
      </c>
      <c r="F80">
        <v>0</v>
      </c>
      <c r="G80">
        <v>0</v>
      </c>
      <c r="H80">
        <v>0</v>
      </c>
      <c r="I80">
        <v>0</v>
      </c>
      <c r="J80">
        <v>0</v>
      </c>
      <c r="K80">
        <v>0</v>
      </c>
      <c r="L80">
        <v>0</v>
      </c>
      <c r="M80">
        <v>826</v>
      </c>
      <c r="N80">
        <v>1215</v>
      </c>
      <c r="O80">
        <v>2750</v>
      </c>
    </row>
    <row r="81" spans="1:15" ht="12.75">
      <c r="A81" s="2" t="s">
        <v>544</v>
      </c>
      <c r="B81">
        <v>0</v>
      </c>
      <c r="C81">
        <v>44</v>
      </c>
      <c r="D81">
        <v>613</v>
      </c>
      <c r="E81">
        <v>0</v>
      </c>
      <c r="F81">
        <v>0</v>
      </c>
      <c r="G81">
        <v>0</v>
      </c>
      <c r="H81">
        <v>0</v>
      </c>
      <c r="I81">
        <v>0</v>
      </c>
      <c r="J81">
        <v>0</v>
      </c>
      <c r="K81">
        <v>0</v>
      </c>
      <c r="L81">
        <v>0</v>
      </c>
      <c r="M81">
        <v>0</v>
      </c>
      <c r="N81">
        <v>0</v>
      </c>
      <c r="O81">
        <v>114</v>
      </c>
    </row>
    <row r="82" spans="1:15" ht="12.75">
      <c r="A82" s="2" t="s">
        <v>545</v>
      </c>
      <c r="B82">
        <v>0</v>
      </c>
      <c r="C82">
        <v>4724</v>
      </c>
      <c r="D82">
        <v>5770</v>
      </c>
      <c r="E82">
        <v>0</v>
      </c>
      <c r="F82">
        <v>0</v>
      </c>
      <c r="G82">
        <v>0</v>
      </c>
      <c r="H82">
        <v>0</v>
      </c>
      <c r="I82">
        <v>0</v>
      </c>
      <c r="J82">
        <v>0</v>
      </c>
      <c r="K82">
        <v>15600</v>
      </c>
      <c r="L82">
        <v>0</v>
      </c>
      <c r="M82">
        <v>4195</v>
      </c>
      <c r="N82">
        <v>9680</v>
      </c>
      <c r="O82">
        <v>5023</v>
      </c>
    </row>
    <row r="83" spans="1:15" ht="12.75">
      <c r="A83" s="2" t="s">
        <v>546</v>
      </c>
      <c r="B83">
        <v>0</v>
      </c>
      <c r="C83">
        <v>1239</v>
      </c>
      <c r="D83">
        <v>0</v>
      </c>
      <c r="E83">
        <v>0</v>
      </c>
      <c r="F83">
        <v>0</v>
      </c>
      <c r="G83">
        <v>0</v>
      </c>
      <c r="H83">
        <v>0</v>
      </c>
      <c r="I83">
        <v>0</v>
      </c>
      <c r="J83">
        <v>0</v>
      </c>
      <c r="K83">
        <v>0</v>
      </c>
      <c r="L83">
        <v>0</v>
      </c>
      <c r="M83">
        <v>0</v>
      </c>
      <c r="N83">
        <v>0</v>
      </c>
      <c r="O83">
        <v>0</v>
      </c>
    </row>
    <row r="84" spans="1:15" ht="12.75">
      <c r="A84" s="2" t="s">
        <v>547</v>
      </c>
      <c r="B84">
        <v>0</v>
      </c>
      <c r="C84">
        <v>4958</v>
      </c>
      <c r="D84">
        <v>0</v>
      </c>
      <c r="E84">
        <v>0</v>
      </c>
      <c r="F84">
        <v>0</v>
      </c>
      <c r="G84">
        <v>0</v>
      </c>
      <c r="H84">
        <v>0</v>
      </c>
      <c r="I84">
        <v>0</v>
      </c>
      <c r="J84">
        <v>0</v>
      </c>
      <c r="K84">
        <v>0</v>
      </c>
      <c r="L84">
        <v>0</v>
      </c>
      <c r="M84">
        <v>0</v>
      </c>
      <c r="N84">
        <v>557</v>
      </c>
      <c r="O84">
        <v>0</v>
      </c>
    </row>
    <row r="85" spans="1:15" ht="12.75">
      <c r="A85" s="2" t="s">
        <v>548</v>
      </c>
      <c r="B85">
        <v>0</v>
      </c>
      <c r="C85">
        <v>373</v>
      </c>
      <c r="D85">
        <v>3782</v>
      </c>
      <c r="E85">
        <v>0</v>
      </c>
      <c r="F85">
        <v>0</v>
      </c>
      <c r="G85">
        <v>0</v>
      </c>
      <c r="H85">
        <v>0</v>
      </c>
      <c r="I85">
        <v>0</v>
      </c>
      <c r="J85">
        <v>0</v>
      </c>
      <c r="K85">
        <v>0</v>
      </c>
      <c r="L85">
        <v>0</v>
      </c>
      <c r="M85">
        <v>716</v>
      </c>
      <c r="N85">
        <v>9427</v>
      </c>
      <c r="O85">
        <v>1341</v>
      </c>
    </row>
    <row r="86" spans="1:15" ht="12.75">
      <c r="A86" s="2" t="s">
        <v>549</v>
      </c>
      <c r="B86">
        <v>0</v>
      </c>
      <c r="C86">
        <v>0</v>
      </c>
      <c r="D86">
        <v>1085</v>
      </c>
      <c r="E86">
        <v>0</v>
      </c>
      <c r="F86">
        <v>0</v>
      </c>
      <c r="G86">
        <v>0</v>
      </c>
      <c r="H86">
        <v>0</v>
      </c>
      <c r="I86">
        <v>0</v>
      </c>
      <c r="J86">
        <v>0</v>
      </c>
      <c r="K86">
        <v>0</v>
      </c>
      <c r="L86">
        <v>0</v>
      </c>
      <c r="M86">
        <v>207</v>
      </c>
      <c r="N86">
        <v>0</v>
      </c>
      <c r="O86">
        <v>355</v>
      </c>
    </row>
    <row r="87" spans="1:15" ht="12.75">
      <c r="A87" s="2" t="s">
        <v>551</v>
      </c>
      <c r="B87">
        <v>0</v>
      </c>
      <c r="C87">
        <v>0</v>
      </c>
      <c r="D87">
        <v>0</v>
      </c>
      <c r="E87">
        <v>0</v>
      </c>
      <c r="F87">
        <v>0</v>
      </c>
      <c r="G87">
        <v>0</v>
      </c>
      <c r="H87">
        <v>0</v>
      </c>
      <c r="I87">
        <v>0</v>
      </c>
      <c r="J87">
        <v>0</v>
      </c>
      <c r="K87">
        <v>0</v>
      </c>
      <c r="L87">
        <v>0</v>
      </c>
      <c r="M87">
        <v>1412</v>
      </c>
      <c r="N87">
        <v>7200</v>
      </c>
      <c r="O87">
        <v>0</v>
      </c>
    </row>
    <row r="88" spans="1:15" ht="12.75">
      <c r="A88" s="2" t="s">
        <v>552</v>
      </c>
      <c r="B88">
        <v>0</v>
      </c>
      <c r="C88">
        <v>11</v>
      </c>
      <c r="D88">
        <v>0</v>
      </c>
      <c r="E88">
        <v>0</v>
      </c>
      <c r="F88">
        <v>0</v>
      </c>
      <c r="G88">
        <v>0</v>
      </c>
      <c r="H88">
        <v>0</v>
      </c>
      <c r="I88">
        <v>0</v>
      </c>
      <c r="J88">
        <v>0</v>
      </c>
      <c r="K88">
        <v>0</v>
      </c>
      <c r="L88">
        <v>0</v>
      </c>
      <c r="M88">
        <v>0</v>
      </c>
      <c r="N88">
        <v>2165</v>
      </c>
      <c r="O88">
        <v>0</v>
      </c>
    </row>
    <row r="89" spans="1:15" ht="12.75">
      <c r="A89" s="2" t="s">
        <v>554</v>
      </c>
      <c r="B89">
        <v>0</v>
      </c>
      <c r="C89">
        <v>1086</v>
      </c>
      <c r="D89">
        <v>0</v>
      </c>
      <c r="E89">
        <v>0</v>
      </c>
      <c r="F89">
        <v>0</v>
      </c>
      <c r="G89">
        <v>0</v>
      </c>
      <c r="H89">
        <v>0</v>
      </c>
      <c r="I89">
        <v>0</v>
      </c>
      <c r="J89">
        <v>904</v>
      </c>
      <c r="K89">
        <v>0</v>
      </c>
      <c r="L89">
        <v>0</v>
      </c>
      <c r="M89">
        <v>0</v>
      </c>
      <c r="N89">
        <v>0</v>
      </c>
      <c r="O89">
        <v>0</v>
      </c>
    </row>
    <row r="90" spans="1:15" ht="12.75">
      <c r="A90" s="2" t="s">
        <v>555</v>
      </c>
      <c r="B90">
        <v>0</v>
      </c>
      <c r="C90">
        <v>14550</v>
      </c>
      <c r="D90">
        <v>4627</v>
      </c>
      <c r="E90">
        <v>55088</v>
      </c>
      <c r="F90">
        <v>540</v>
      </c>
      <c r="G90">
        <v>0</v>
      </c>
      <c r="H90">
        <v>2728</v>
      </c>
      <c r="I90">
        <v>68468</v>
      </c>
      <c r="J90">
        <v>36834</v>
      </c>
      <c r="K90">
        <v>0</v>
      </c>
      <c r="L90">
        <v>0</v>
      </c>
      <c r="M90">
        <v>2577</v>
      </c>
      <c r="N90">
        <v>9933</v>
      </c>
      <c r="O90">
        <v>18992</v>
      </c>
    </row>
    <row r="91" spans="1:15" ht="12.75">
      <c r="A91" s="2" t="s">
        <v>556</v>
      </c>
      <c r="B91">
        <v>0</v>
      </c>
      <c r="C91">
        <v>2146082</v>
      </c>
      <c r="D91">
        <v>240543</v>
      </c>
      <c r="E91">
        <v>1373920</v>
      </c>
      <c r="F91">
        <v>989</v>
      </c>
      <c r="G91">
        <v>0</v>
      </c>
      <c r="H91">
        <v>201307</v>
      </c>
      <c r="I91">
        <v>112024</v>
      </c>
      <c r="J91">
        <v>8954</v>
      </c>
      <c r="K91">
        <v>0</v>
      </c>
      <c r="L91">
        <v>0</v>
      </c>
      <c r="M91">
        <v>303898</v>
      </c>
      <c r="N91">
        <v>100487</v>
      </c>
      <c r="O91">
        <v>388620</v>
      </c>
    </row>
    <row r="92" spans="1:15" ht="12.75">
      <c r="A92" s="2" t="s">
        <v>557</v>
      </c>
      <c r="B92">
        <v>0</v>
      </c>
      <c r="C92">
        <v>0</v>
      </c>
      <c r="D92">
        <v>0</v>
      </c>
      <c r="E92">
        <v>1364</v>
      </c>
      <c r="F92">
        <v>0</v>
      </c>
      <c r="G92">
        <v>0</v>
      </c>
      <c r="H92">
        <v>480</v>
      </c>
      <c r="I92">
        <v>0</v>
      </c>
      <c r="J92">
        <v>0</v>
      </c>
      <c r="K92">
        <v>0</v>
      </c>
      <c r="L92">
        <v>0</v>
      </c>
      <c r="M92">
        <v>0</v>
      </c>
      <c r="N92">
        <v>0</v>
      </c>
      <c r="O92">
        <v>0</v>
      </c>
    </row>
    <row r="93" spans="1:15" ht="12.75">
      <c r="A93" s="2" t="s">
        <v>558</v>
      </c>
      <c r="B93">
        <v>0</v>
      </c>
      <c r="C93">
        <v>2141</v>
      </c>
      <c r="D93">
        <v>2473</v>
      </c>
      <c r="E93">
        <v>11084</v>
      </c>
      <c r="F93">
        <v>0</v>
      </c>
      <c r="G93">
        <v>0</v>
      </c>
      <c r="H93">
        <v>516</v>
      </c>
      <c r="I93">
        <v>12082</v>
      </c>
      <c r="J93">
        <v>6560</v>
      </c>
      <c r="K93">
        <v>0</v>
      </c>
      <c r="L93">
        <v>0</v>
      </c>
      <c r="M93">
        <v>1226</v>
      </c>
      <c r="N93">
        <v>1012</v>
      </c>
      <c r="O93">
        <v>1058</v>
      </c>
    </row>
    <row r="94" spans="1:15" ht="12.75">
      <c r="A94" s="2" t="s">
        <v>559</v>
      </c>
      <c r="B94">
        <v>0</v>
      </c>
      <c r="C94">
        <v>148538</v>
      </c>
      <c r="D94">
        <v>103618</v>
      </c>
      <c r="E94">
        <v>181175</v>
      </c>
      <c r="F94">
        <v>5088</v>
      </c>
      <c r="G94">
        <v>0</v>
      </c>
      <c r="H94">
        <v>23820</v>
      </c>
      <c r="I94">
        <v>19442</v>
      </c>
      <c r="J94">
        <v>541</v>
      </c>
      <c r="K94">
        <v>0</v>
      </c>
      <c r="L94">
        <v>2436</v>
      </c>
      <c r="M94">
        <v>32396</v>
      </c>
      <c r="N94">
        <v>6020</v>
      </c>
      <c r="O94">
        <v>154137</v>
      </c>
    </row>
    <row r="95" spans="1:15" ht="12.75">
      <c r="A95" s="2" t="s">
        <v>560</v>
      </c>
      <c r="B95">
        <v>0</v>
      </c>
      <c r="C95">
        <v>2894</v>
      </c>
      <c r="D95">
        <v>18981</v>
      </c>
      <c r="E95">
        <v>7065</v>
      </c>
      <c r="F95">
        <v>0</v>
      </c>
      <c r="G95">
        <v>0</v>
      </c>
      <c r="H95">
        <v>420</v>
      </c>
      <c r="I95">
        <v>4390</v>
      </c>
      <c r="J95">
        <v>5318</v>
      </c>
      <c r="K95">
        <v>0</v>
      </c>
      <c r="L95">
        <v>0</v>
      </c>
      <c r="M95">
        <v>5189</v>
      </c>
      <c r="N95">
        <v>2940</v>
      </c>
      <c r="O95">
        <v>6012</v>
      </c>
    </row>
    <row r="96" spans="1:15" ht="12.75">
      <c r="A96" s="2" t="s">
        <v>561</v>
      </c>
      <c r="B96">
        <v>0</v>
      </c>
      <c r="C96">
        <v>12722</v>
      </c>
      <c r="D96">
        <v>95778</v>
      </c>
      <c r="E96">
        <v>39860</v>
      </c>
      <c r="F96">
        <v>0</v>
      </c>
      <c r="G96">
        <v>0</v>
      </c>
      <c r="H96">
        <v>5199</v>
      </c>
      <c r="I96">
        <v>20188</v>
      </c>
      <c r="J96">
        <v>2195</v>
      </c>
      <c r="K96">
        <v>0</v>
      </c>
      <c r="L96">
        <v>2935</v>
      </c>
      <c r="M96">
        <v>19407</v>
      </c>
      <c r="N96">
        <v>43049</v>
      </c>
      <c r="O96">
        <v>11502</v>
      </c>
    </row>
    <row r="97" spans="1:15" ht="12.75">
      <c r="A97" s="2" t="s">
        <v>562</v>
      </c>
      <c r="B97">
        <v>0</v>
      </c>
      <c r="C97">
        <v>0</v>
      </c>
      <c r="D97">
        <v>0</v>
      </c>
      <c r="E97">
        <v>3316</v>
      </c>
      <c r="F97">
        <v>0</v>
      </c>
      <c r="G97">
        <v>0</v>
      </c>
      <c r="H97">
        <v>120</v>
      </c>
      <c r="I97">
        <v>13228</v>
      </c>
      <c r="J97">
        <v>1465</v>
      </c>
      <c r="K97">
        <v>0</v>
      </c>
      <c r="L97">
        <v>0</v>
      </c>
      <c r="M97">
        <v>56</v>
      </c>
      <c r="N97">
        <v>607</v>
      </c>
      <c r="O97">
        <v>5</v>
      </c>
    </row>
    <row r="98" spans="1:15" ht="12.75">
      <c r="A98" s="2" t="s">
        <v>563</v>
      </c>
      <c r="B98">
        <v>0</v>
      </c>
      <c r="C98">
        <v>13385</v>
      </c>
      <c r="D98">
        <v>1637</v>
      </c>
      <c r="E98">
        <v>85089</v>
      </c>
      <c r="F98">
        <v>0</v>
      </c>
      <c r="G98">
        <v>0</v>
      </c>
      <c r="H98">
        <v>11876</v>
      </c>
      <c r="I98">
        <v>10428</v>
      </c>
      <c r="J98">
        <v>1539</v>
      </c>
      <c r="K98">
        <v>0</v>
      </c>
      <c r="L98">
        <v>0</v>
      </c>
      <c r="M98">
        <v>935</v>
      </c>
      <c r="N98">
        <v>2429</v>
      </c>
      <c r="O98">
        <v>10604</v>
      </c>
    </row>
    <row r="99" spans="1:15" ht="12.75">
      <c r="A99" s="2" t="s">
        <v>746</v>
      </c>
      <c r="B99">
        <v>0</v>
      </c>
      <c r="C99">
        <v>0</v>
      </c>
      <c r="D99">
        <v>0</v>
      </c>
      <c r="E99">
        <v>0</v>
      </c>
      <c r="F99">
        <v>0</v>
      </c>
      <c r="G99">
        <v>0</v>
      </c>
      <c r="H99">
        <v>15</v>
      </c>
      <c r="I99">
        <v>0</v>
      </c>
      <c r="J99">
        <v>0</v>
      </c>
      <c r="K99">
        <v>0</v>
      </c>
      <c r="L99">
        <v>0</v>
      </c>
      <c r="M99">
        <v>0</v>
      </c>
      <c r="N99">
        <v>0</v>
      </c>
      <c r="O99">
        <v>0</v>
      </c>
    </row>
    <row r="100" spans="1:15" ht="12.75">
      <c r="A100" s="2" t="s">
        <v>564</v>
      </c>
      <c r="B100">
        <v>0</v>
      </c>
      <c r="C100">
        <v>0</v>
      </c>
      <c r="D100">
        <v>0</v>
      </c>
      <c r="E100">
        <v>0</v>
      </c>
      <c r="F100">
        <v>0</v>
      </c>
      <c r="G100">
        <v>0</v>
      </c>
      <c r="H100">
        <v>0</v>
      </c>
      <c r="I100">
        <v>0</v>
      </c>
      <c r="J100">
        <v>0</v>
      </c>
      <c r="K100">
        <v>0</v>
      </c>
      <c r="L100">
        <v>0</v>
      </c>
      <c r="M100">
        <v>133</v>
      </c>
      <c r="N100">
        <v>0</v>
      </c>
      <c r="O100">
        <v>0</v>
      </c>
    </row>
    <row r="101" spans="1:15" ht="12.75">
      <c r="A101" s="2" t="s">
        <v>565</v>
      </c>
      <c r="B101">
        <v>0</v>
      </c>
      <c r="C101">
        <v>10</v>
      </c>
      <c r="D101">
        <v>0</v>
      </c>
      <c r="E101">
        <v>0</v>
      </c>
      <c r="F101">
        <v>0</v>
      </c>
      <c r="G101">
        <v>0</v>
      </c>
      <c r="H101">
        <v>0</v>
      </c>
      <c r="I101">
        <v>0</v>
      </c>
      <c r="J101">
        <v>0</v>
      </c>
      <c r="K101">
        <v>0</v>
      </c>
      <c r="L101">
        <v>0</v>
      </c>
      <c r="M101">
        <v>15589</v>
      </c>
      <c r="N101">
        <v>0</v>
      </c>
      <c r="O101">
        <v>0</v>
      </c>
    </row>
    <row r="102" spans="1:15" ht="12.75">
      <c r="A102" s="2" t="s">
        <v>566</v>
      </c>
      <c r="B102">
        <v>0</v>
      </c>
      <c r="C102">
        <v>5</v>
      </c>
      <c r="D102">
        <v>198</v>
      </c>
      <c r="E102">
        <v>0</v>
      </c>
      <c r="F102">
        <v>0</v>
      </c>
      <c r="G102">
        <v>0</v>
      </c>
      <c r="H102">
        <v>0</v>
      </c>
      <c r="I102">
        <v>0</v>
      </c>
      <c r="J102">
        <v>0</v>
      </c>
      <c r="K102">
        <v>0</v>
      </c>
      <c r="L102">
        <v>0</v>
      </c>
      <c r="M102">
        <v>0</v>
      </c>
      <c r="N102">
        <v>0</v>
      </c>
      <c r="O102">
        <v>0</v>
      </c>
    </row>
    <row r="103" spans="1:15" ht="12.75">
      <c r="A103" s="2" t="s">
        <v>567</v>
      </c>
      <c r="B103">
        <v>0</v>
      </c>
      <c r="C103">
        <v>6</v>
      </c>
      <c r="D103">
        <v>214</v>
      </c>
      <c r="E103">
        <v>0</v>
      </c>
      <c r="F103">
        <v>0</v>
      </c>
      <c r="G103">
        <v>0</v>
      </c>
      <c r="H103">
        <v>0</v>
      </c>
      <c r="I103">
        <v>0</v>
      </c>
      <c r="J103">
        <v>0</v>
      </c>
      <c r="K103">
        <v>0</v>
      </c>
      <c r="L103">
        <v>0</v>
      </c>
      <c r="M103">
        <v>126</v>
      </c>
      <c r="N103">
        <v>0</v>
      </c>
      <c r="O103">
        <v>0</v>
      </c>
    </row>
    <row r="104" spans="1:15" ht="12.75">
      <c r="A104" s="2" t="s">
        <v>568</v>
      </c>
      <c r="B104">
        <v>0</v>
      </c>
      <c r="C104">
        <v>0</v>
      </c>
      <c r="D104">
        <v>0</v>
      </c>
      <c r="E104">
        <v>0</v>
      </c>
      <c r="F104">
        <v>0</v>
      </c>
      <c r="G104">
        <v>0</v>
      </c>
      <c r="H104">
        <v>0</v>
      </c>
      <c r="I104">
        <v>0</v>
      </c>
      <c r="J104">
        <v>0</v>
      </c>
      <c r="K104">
        <v>0</v>
      </c>
      <c r="L104">
        <v>0</v>
      </c>
      <c r="M104">
        <v>7614</v>
      </c>
      <c r="N104">
        <v>0</v>
      </c>
      <c r="O104">
        <v>0</v>
      </c>
    </row>
    <row r="105" spans="1:15" ht="12.75">
      <c r="A105" s="2" t="s">
        <v>569</v>
      </c>
      <c r="B105">
        <v>0</v>
      </c>
      <c r="C105">
        <v>0</v>
      </c>
      <c r="D105">
        <v>0</v>
      </c>
      <c r="E105">
        <v>0</v>
      </c>
      <c r="F105">
        <v>0</v>
      </c>
      <c r="G105">
        <v>0</v>
      </c>
      <c r="H105">
        <v>0</v>
      </c>
      <c r="I105">
        <v>0</v>
      </c>
      <c r="J105">
        <v>0</v>
      </c>
      <c r="K105">
        <v>0</v>
      </c>
      <c r="L105">
        <v>0</v>
      </c>
      <c r="M105">
        <v>357</v>
      </c>
      <c r="N105">
        <v>5631</v>
      </c>
      <c r="O105">
        <v>0</v>
      </c>
    </row>
    <row r="106" spans="1:15" ht="12.75">
      <c r="A106" s="2" t="s">
        <v>570</v>
      </c>
      <c r="B106">
        <v>0</v>
      </c>
      <c r="C106">
        <v>882</v>
      </c>
      <c r="D106">
        <v>186</v>
      </c>
      <c r="E106">
        <v>7035</v>
      </c>
      <c r="F106">
        <v>0</v>
      </c>
      <c r="G106">
        <v>0</v>
      </c>
      <c r="H106">
        <v>324</v>
      </c>
      <c r="I106">
        <v>13415</v>
      </c>
      <c r="J106">
        <v>4032</v>
      </c>
      <c r="K106">
        <v>0</v>
      </c>
      <c r="L106">
        <v>0</v>
      </c>
      <c r="M106">
        <v>130</v>
      </c>
      <c r="N106">
        <v>0</v>
      </c>
      <c r="O106">
        <v>37</v>
      </c>
    </row>
    <row r="107" spans="1:15" ht="12.75">
      <c r="A107" s="2" t="s">
        <v>571</v>
      </c>
      <c r="B107">
        <v>0</v>
      </c>
      <c r="C107">
        <v>4082</v>
      </c>
      <c r="D107">
        <v>3177</v>
      </c>
      <c r="E107">
        <v>27136</v>
      </c>
      <c r="F107">
        <v>0</v>
      </c>
      <c r="G107">
        <v>0</v>
      </c>
      <c r="H107">
        <v>3761</v>
      </c>
      <c r="I107">
        <v>2006</v>
      </c>
      <c r="J107">
        <v>0</v>
      </c>
      <c r="K107">
        <v>0</v>
      </c>
      <c r="L107">
        <v>0</v>
      </c>
      <c r="M107">
        <v>914</v>
      </c>
      <c r="N107">
        <v>0</v>
      </c>
      <c r="O107">
        <v>928</v>
      </c>
    </row>
    <row r="108" spans="1:15" ht="12.75">
      <c r="A108" s="2" t="s">
        <v>572</v>
      </c>
      <c r="B108">
        <v>0</v>
      </c>
      <c r="C108">
        <v>18</v>
      </c>
      <c r="D108">
        <v>5652</v>
      </c>
      <c r="E108">
        <v>4784</v>
      </c>
      <c r="F108">
        <v>2719</v>
      </c>
      <c r="G108">
        <v>0</v>
      </c>
      <c r="H108">
        <v>240</v>
      </c>
      <c r="I108">
        <v>7000</v>
      </c>
      <c r="J108">
        <v>0</v>
      </c>
      <c r="K108">
        <v>0</v>
      </c>
      <c r="L108">
        <v>0</v>
      </c>
      <c r="M108">
        <v>947</v>
      </c>
      <c r="N108">
        <v>448</v>
      </c>
      <c r="O108">
        <v>2295</v>
      </c>
    </row>
    <row r="109" spans="1:15" ht="12.75">
      <c r="A109" s="2" t="s">
        <v>573</v>
      </c>
      <c r="B109">
        <v>0</v>
      </c>
      <c r="C109">
        <v>107</v>
      </c>
      <c r="D109">
        <v>17328</v>
      </c>
      <c r="E109">
        <v>12524</v>
      </c>
      <c r="F109">
        <v>22196</v>
      </c>
      <c r="G109">
        <v>0</v>
      </c>
      <c r="H109">
        <v>2240</v>
      </c>
      <c r="I109">
        <v>18000</v>
      </c>
      <c r="J109">
        <v>0</v>
      </c>
      <c r="K109">
        <v>0</v>
      </c>
      <c r="L109">
        <v>0</v>
      </c>
      <c r="M109">
        <v>4526</v>
      </c>
      <c r="N109">
        <v>0</v>
      </c>
      <c r="O109">
        <v>8600</v>
      </c>
    </row>
    <row r="110" spans="1:15" ht="12.75">
      <c r="A110" s="2" t="s">
        <v>574</v>
      </c>
      <c r="B110">
        <v>0</v>
      </c>
      <c r="C110">
        <v>432</v>
      </c>
      <c r="D110">
        <v>10847</v>
      </c>
      <c r="E110">
        <v>12019</v>
      </c>
      <c r="F110">
        <v>5669</v>
      </c>
      <c r="G110">
        <v>0</v>
      </c>
      <c r="H110">
        <v>3960</v>
      </c>
      <c r="I110">
        <v>0</v>
      </c>
      <c r="J110">
        <v>0</v>
      </c>
      <c r="K110">
        <v>0</v>
      </c>
      <c r="L110">
        <v>0</v>
      </c>
      <c r="M110">
        <v>4191</v>
      </c>
      <c r="N110">
        <v>9825</v>
      </c>
      <c r="O110">
        <v>2544</v>
      </c>
    </row>
    <row r="111" spans="1:15" ht="12.75">
      <c r="A111" s="2" t="s">
        <v>575</v>
      </c>
      <c r="B111">
        <v>0</v>
      </c>
      <c r="C111">
        <v>0</v>
      </c>
      <c r="D111">
        <v>0</v>
      </c>
      <c r="E111">
        <v>3793</v>
      </c>
      <c r="F111">
        <v>749</v>
      </c>
      <c r="G111">
        <v>0</v>
      </c>
      <c r="H111">
        <v>1080</v>
      </c>
      <c r="I111">
        <v>0</v>
      </c>
      <c r="J111">
        <v>0</v>
      </c>
      <c r="K111">
        <v>0</v>
      </c>
      <c r="L111">
        <v>0</v>
      </c>
      <c r="M111">
        <v>12</v>
      </c>
      <c r="N111">
        <v>0</v>
      </c>
      <c r="O111">
        <v>391</v>
      </c>
    </row>
    <row r="112" spans="1:15" ht="12.75">
      <c r="A112" s="2" t="s">
        <v>576</v>
      </c>
      <c r="B112">
        <v>0</v>
      </c>
      <c r="C112">
        <v>2130</v>
      </c>
      <c r="D112">
        <v>6596</v>
      </c>
      <c r="E112">
        <v>2461</v>
      </c>
      <c r="F112">
        <v>0</v>
      </c>
      <c r="G112">
        <v>0</v>
      </c>
      <c r="H112">
        <v>900</v>
      </c>
      <c r="I112">
        <v>0</v>
      </c>
      <c r="J112">
        <v>0</v>
      </c>
      <c r="K112">
        <v>0</v>
      </c>
      <c r="L112">
        <v>0</v>
      </c>
      <c r="M112">
        <v>2655</v>
      </c>
      <c r="N112">
        <v>0</v>
      </c>
      <c r="O112">
        <v>15147</v>
      </c>
    </row>
    <row r="113" spans="1:15" ht="12.75">
      <c r="A113" s="2" t="s">
        <v>577</v>
      </c>
      <c r="B113">
        <v>0</v>
      </c>
      <c r="C113">
        <v>10864</v>
      </c>
      <c r="D113">
        <v>9763</v>
      </c>
      <c r="E113">
        <v>3408</v>
      </c>
      <c r="F113">
        <v>0</v>
      </c>
      <c r="G113">
        <v>0</v>
      </c>
      <c r="H113">
        <v>1440</v>
      </c>
      <c r="I113">
        <v>0</v>
      </c>
      <c r="J113">
        <v>0</v>
      </c>
      <c r="K113">
        <v>0</v>
      </c>
      <c r="L113">
        <v>0</v>
      </c>
      <c r="M113">
        <v>652</v>
      </c>
      <c r="N113">
        <v>0</v>
      </c>
      <c r="O113">
        <v>25799</v>
      </c>
    </row>
    <row r="114" spans="1:15" ht="12.75">
      <c r="A114" s="2" t="s">
        <v>578</v>
      </c>
      <c r="B114">
        <v>0</v>
      </c>
      <c r="C114">
        <v>175524</v>
      </c>
      <c r="D114">
        <v>45066</v>
      </c>
      <c r="E114">
        <v>73591</v>
      </c>
      <c r="F114">
        <v>0</v>
      </c>
      <c r="G114">
        <v>0</v>
      </c>
      <c r="H114">
        <v>30415</v>
      </c>
      <c r="I114">
        <v>0</v>
      </c>
      <c r="J114">
        <v>0</v>
      </c>
      <c r="K114">
        <v>0</v>
      </c>
      <c r="L114">
        <v>0</v>
      </c>
      <c r="M114">
        <v>35278</v>
      </c>
      <c r="N114">
        <v>0</v>
      </c>
      <c r="O114">
        <v>80565</v>
      </c>
    </row>
    <row r="115" spans="1:15" ht="12.75">
      <c r="A115" s="2" t="s">
        <v>579</v>
      </c>
      <c r="B115">
        <v>0</v>
      </c>
      <c r="C115">
        <v>22839</v>
      </c>
      <c r="D115">
        <v>35521</v>
      </c>
      <c r="E115">
        <v>32229</v>
      </c>
      <c r="F115">
        <v>2498</v>
      </c>
      <c r="G115">
        <v>0</v>
      </c>
      <c r="H115">
        <v>19207</v>
      </c>
      <c r="I115">
        <v>0</v>
      </c>
      <c r="J115">
        <v>0</v>
      </c>
      <c r="K115">
        <v>0</v>
      </c>
      <c r="L115">
        <v>0</v>
      </c>
      <c r="M115">
        <v>13520</v>
      </c>
      <c r="N115">
        <v>150</v>
      </c>
      <c r="O115">
        <v>77885</v>
      </c>
    </row>
    <row r="116" spans="1:15" ht="12.75">
      <c r="A116" s="2" t="s">
        <v>580</v>
      </c>
      <c r="B116">
        <v>0</v>
      </c>
      <c r="C116">
        <v>1248</v>
      </c>
      <c r="D116">
        <v>0</v>
      </c>
      <c r="E116">
        <v>591</v>
      </c>
      <c r="F116">
        <v>0</v>
      </c>
      <c r="G116">
        <v>0</v>
      </c>
      <c r="H116">
        <v>276</v>
      </c>
      <c r="I116">
        <v>0</v>
      </c>
      <c r="J116">
        <v>0</v>
      </c>
      <c r="K116">
        <v>0</v>
      </c>
      <c r="L116">
        <v>0</v>
      </c>
      <c r="M116">
        <v>128</v>
      </c>
      <c r="N116">
        <v>0</v>
      </c>
      <c r="O116">
        <v>0</v>
      </c>
    </row>
    <row r="117" spans="1:15" ht="12.75">
      <c r="A117" s="2" t="s">
        <v>581</v>
      </c>
      <c r="B117">
        <v>0</v>
      </c>
      <c r="C117">
        <v>95208</v>
      </c>
      <c r="D117">
        <v>6362</v>
      </c>
      <c r="E117">
        <v>46993</v>
      </c>
      <c r="F117">
        <v>0</v>
      </c>
      <c r="G117">
        <v>0</v>
      </c>
      <c r="H117">
        <v>32897</v>
      </c>
      <c r="I117">
        <v>0</v>
      </c>
      <c r="J117">
        <v>0</v>
      </c>
      <c r="K117">
        <v>0</v>
      </c>
      <c r="L117">
        <v>0</v>
      </c>
      <c r="M117">
        <v>19754</v>
      </c>
      <c r="N117">
        <v>100</v>
      </c>
      <c r="O117">
        <v>16004</v>
      </c>
    </row>
    <row r="118" spans="1:15" ht="12.75">
      <c r="A118" s="2" t="s">
        <v>582</v>
      </c>
      <c r="B118">
        <v>0</v>
      </c>
      <c r="C118">
        <v>0</v>
      </c>
      <c r="D118">
        <v>0</v>
      </c>
      <c r="E118">
        <v>0</v>
      </c>
      <c r="F118">
        <v>0</v>
      </c>
      <c r="G118">
        <v>0</v>
      </c>
      <c r="H118">
        <v>0</v>
      </c>
      <c r="I118">
        <v>0</v>
      </c>
      <c r="J118">
        <v>0</v>
      </c>
      <c r="K118">
        <v>0</v>
      </c>
      <c r="L118">
        <v>0</v>
      </c>
      <c r="M118">
        <v>1367</v>
      </c>
      <c r="N118">
        <v>0</v>
      </c>
      <c r="O118">
        <v>0</v>
      </c>
    </row>
    <row r="119" spans="1:15" ht="12.75">
      <c r="A119" s="2" t="s">
        <v>583</v>
      </c>
      <c r="B119">
        <v>0</v>
      </c>
      <c r="C119">
        <v>29</v>
      </c>
      <c r="D119">
        <v>0</v>
      </c>
      <c r="E119">
        <v>0</v>
      </c>
      <c r="F119">
        <v>0</v>
      </c>
      <c r="G119">
        <v>0</v>
      </c>
      <c r="H119">
        <v>2</v>
      </c>
      <c r="I119">
        <v>155</v>
      </c>
      <c r="J119">
        <v>0</v>
      </c>
      <c r="K119">
        <v>0</v>
      </c>
      <c r="L119">
        <v>0</v>
      </c>
      <c r="M119">
        <v>1649</v>
      </c>
      <c r="N119">
        <v>3261</v>
      </c>
      <c r="O119">
        <v>0</v>
      </c>
    </row>
    <row r="120" spans="1:15" ht="12.75">
      <c r="A120" s="2" t="s">
        <v>584</v>
      </c>
      <c r="B120">
        <v>0</v>
      </c>
      <c r="C120">
        <v>1</v>
      </c>
      <c r="D120">
        <v>0</v>
      </c>
      <c r="E120">
        <v>6355</v>
      </c>
      <c r="F120">
        <v>0</v>
      </c>
      <c r="G120">
        <v>0</v>
      </c>
      <c r="H120">
        <v>436</v>
      </c>
      <c r="I120">
        <v>16605</v>
      </c>
      <c r="J120">
        <v>0</v>
      </c>
      <c r="K120">
        <v>0</v>
      </c>
      <c r="L120">
        <v>0</v>
      </c>
      <c r="M120">
        <v>1051</v>
      </c>
      <c r="N120">
        <v>2763</v>
      </c>
      <c r="O120">
        <v>0</v>
      </c>
    </row>
    <row r="121" spans="1:15" ht="12.75">
      <c r="A121" s="2" t="s">
        <v>585</v>
      </c>
      <c r="B121">
        <v>0</v>
      </c>
      <c r="C121">
        <v>1865</v>
      </c>
      <c r="D121">
        <v>0</v>
      </c>
      <c r="E121">
        <v>78692</v>
      </c>
      <c r="F121">
        <v>44411</v>
      </c>
      <c r="G121">
        <v>0</v>
      </c>
      <c r="H121">
        <v>12781</v>
      </c>
      <c r="I121">
        <v>59226</v>
      </c>
      <c r="J121">
        <v>0</v>
      </c>
      <c r="K121">
        <v>0</v>
      </c>
      <c r="L121">
        <v>103</v>
      </c>
      <c r="M121">
        <v>7480</v>
      </c>
      <c r="N121">
        <v>28559</v>
      </c>
      <c r="O121">
        <v>53292</v>
      </c>
    </row>
    <row r="122" spans="1:15" ht="12.75">
      <c r="A122" s="2" t="s">
        <v>586</v>
      </c>
      <c r="B122">
        <v>0</v>
      </c>
      <c r="C122">
        <v>1167</v>
      </c>
      <c r="D122">
        <v>3459</v>
      </c>
      <c r="E122">
        <v>94615</v>
      </c>
      <c r="F122">
        <v>35026</v>
      </c>
      <c r="G122">
        <v>0</v>
      </c>
      <c r="H122">
        <v>27276</v>
      </c>
      <c r="I122">
        <v>0</v>
      </c>
      <c r="J122">
        <v>0</v>
      </c>
      <c r="K122">
        <v>0</v>
      </c>
      <c r="L122">
        <v>0</v>
      </c>
      <c r="M122">
        <v>9909</v>
      </c>
      <c r="N122">
        <v>15261</v>
      </c>
      <c r="O122">
        <v>71627</v>
      </c>
    </row>
    <row r="123" spans="1:15" ht="12.75">
      <c r="A123" s="2" t="s">
        <v>587</v>
      </c>
      <c r="B123">
        <v>0</v>
      </c>
      <c r="C123">
        <v>71</v>
      </c>
      <c r="D123">
        <v>2818</v>
      </c>
      <c r="E123">
        <v>1159</v>
      </c>
      <c r="F123">
        <v>0</v>
      </c>
      <c r="G123">
        <v>0</v>
      </c>
      <c r="H123">
        <v>552</v>
      </c>
      <c r="I123">
        <v>0</v>
      </c>
      <c r="J123">
        <v>0</v>
      </c>
      <c r="K123">
        <v>0</v>
      </c>
      <c r="L123">
        <v>0</v>
      </c>
      <c r="M123">
        <v>1347</v>
      </c>
      <c r="N123">
        <v>0</v>
      </c>
      <c r="O123">
        <v>7895</v>
      </c>
    </row>
    <row r="124" spans="1:15" ht="12.75">
      <c r="A124" s="2" t="s">
        <v>588</v>
      </c>
      <c r="B124">
        <v>0</v>
      </c>
      <c r="C124">
        <v>1051</v>
      </c>
      <c r="D124">
        <v>9809</v>
      </c>
      <c r="E124">
        <v>14295</v>
      </c>
      <c r="F124">
        <v>407</v>
      </c>
      <c r="G124">
        <v>0</v>
      </c>
      <c r="H124">
        <v>9257</v>
      </c>
      <c r="I124">
        <v>0</v>
      </c>
      <c r="J124">
        <v>0</v>
      </c>
      <c r="K124">
        <v>0</v>
      </c>
      <c r="L124">
        <v>0</v>
      </c>
      <c r="M124">
        <v>2955</v>
      </c>
      <c r="N124">
        <v>556</v>
      </c>
      <c r="O124">
        <v>22005</v>
      </c>
    </row>
    <row r="125" spans="1:15" ht="12.75">
      <c r="A125" s="2" t="s">
        <v>589</v>
      </c>
      <c r="B125">
        <v>0</v>
      </c>
      <c r="C125">
        <v>0</v>
      </c>
      <c r="D125">
        <v>0</v>
      </c>
      <c r="E125">
        <v>2398</v>
      </c>
      <c r="F125">
        <v>0</v>
      </c>
      <c r="G125">
        <v>0</v>
      </c>
      <c r="H125">
        <v>1618</v>
      </c>
      <c r="I125">
        <v>0</v>
      </c>
      <c r="J125">
        <v>0</v>
      </c>
      <c r="K125">
        <v>0</v>
      </c>
      <c r="L125">
        <v>33</v>
      </c>
      <c r="M125">
        <v>0</v>
      </c>
      <c r="N125">
        <v>323</v>
      </c>
      <c r="O125">
        <v>36</v>
      </c>
    </row>
    <row r="126" spans="1:15" ht="12.75">
      <c r="A126" s="2" t="s">
        <v>203</v>
      </c>
      <c r="B126" s="2">
        <f aca="true" t="shared" si="1" ref="B126:O126">SUM(B70:B125)</f>
        <v>0</v>
      </c>
      <c r="C126" s="2">
        <f t="shared" si="1"/>
        <v>2964454</v>
      </c>
      <c r="D126" s="2">
        <f t="shared" si="1"/>
        <v>1024774</v>
      </c>
      <c r="E126" s="2">
        <f t="shared" si="1"/>
        <v>2182039</v>
      </c>
      <c r="F126" s="2">
        <f t="shared" si="1"/>
        <v>120292</v>
      </c>
      <c r="G126" s="2">
        <f t="shared" si="1"/>
        <v>0</v>
      </c>
      <c r="H126" s="2">
        <f t="shared" si="1"/>
        <v>395143</v>
      </c>
      <c r="I126" s="2">
        <f t="shared" si="1"/>
        <v>376657</v>
      </c>
      <c r="J126" s="2">
        <f t="shared" si="1"/>
        <v>68342</v>
      </c>
      <c r="K126" s="2">
        <f t="shared" si="1"/>
        <v>898787</v>
      </c>
      <c r="L126" s="2">
        <f t="shared" si="1"/>
        <v>10481</v>
      </c>
      <c r="M126" s="2">
        <f t="shared" si="1"/>
        <v>712185</v>
      </c>
      <c r="N126" s="2">
        <f t="shared" si="1"/>
        <v>403634</v>
      </c>
      <c r="O126" s="2">
        <f t="shared" si="1"/>
        <v>1315511</v>
      </c>
    </row>
    <row r="129" ht="12.75">
      <c r="A129" s="2" t="s">
        <v>840</v>
      </c>
    </row>
    <row r="130" spans="1:5" ht="12.75">
      <c r="A130" s="2" t="s">
        <v>841</v>
      </c>
      <c r="B130" s="2" t="s">
        <v>842</v>
      </c>
      <c r="C130" s="2" t="s">
        <v>843</v>
      </c>
      <c r="D130" s="2" t="s">
        <v>844</v>
      </c>
      <c r="E130" s="2" t="s">
        <v>203</v>
      </c>
    </row>
    <row r="131" spans="1:5" ht="12.75">
      <c r="A131" s="2" t="s">
        <v>533</v>
      </c>
      <c r="B131" s="2">
        <f>2698509</f>
        <v>2698509</v>
      </c>
      <c r="C131" s="2">
        <f>44324</f>
        <v>44324</v>
      </c>
      <c r="D131" s="2">
        <f>1995</f>
        <v>1995</v>
      </c>
      <c r="E131" s="2">
        <f aca="true" t="shared" si="2" ref="E131:E139">SUM(B7:M7,SUM(B70:O70))</f>
        <v>2744828</v>
      </c>
    </row>
    <row r="132" spans="1:5" ht="12.75">
      <c r="A132" s="2" t="s">
        <v>534</v>
      </c>
      <c r="B132" s="2">
        <f>71080</f>
        <v>71080</v>
      </c>
      <c r="C132" s="2">
        <f>4579</f>
        <v>4579</v>
      </c>
      <c r="D132" s="2">
        <f>0</f>
        <v>0</v>
      </c>
      <c r="E132" s="2">
        <f t="shared" si="2"/>
        <v>75659</v>
      </c>
    </row>
    <row r="133" spans="1:5" ht="12.75">
      <c r="A133" s="2" t="s">
        <v>535</v>
      </c>
      <c r="B133" s="2">
        <f>2012388</f>
        <v>2012388</v>
      </c>
      <c r="C133" s="2">
        <f>130639</f>
        <v>130639</v>
      </c>
      <c r="D133" s="2">
        <f>10408</f>
        <v>10408</v>
      </c>
      <c r="E133" s="2">
        <f t="shared" si="2"/>
        <v>2153435</v>
      </c>
    </row>
    <row r="134" spans="1:5" ht="12.75">
      <c r="A134" s="2" t="s">
        <v>536</v>
      </c>
      <c r="B134" s="2">
        <f>130673</f>
        <v>130673</v>
      </c>
      <c r="C134" s="2">
        <f>24731</f>
        <v>24731</v>
      </c>
      <c r="D134" s="2">
        <f>1499</f>
        <v>1499</v>
      </c>
      <c r="E134" s="2">
        <f t="shared" si="2"/>
        <v>156903</v>
      </c>
    </row>
    <row r="135" spans="1:5" ht="12.75">
      <c r="A135" s="2" t="s">
        <v>537</v>
      </c>
      <c r="B135" s="2">
        <f>10538122</f>
        <v>10538122</v>
      </c>
      <c r="C135" s="2">
        <f>1306343</f>
        <v>1306343</v>
      </c>
      <c r="D135" s="2">
        <f>230808</f>
        <v>230808</v>
      </c>
      <c r="E135" s="2">
        <f t="shared" si="2"/>
        <v>12075273</v>
      </c>
    </row>
    <row r="136" spans="1:5" ht="12.75">
      <c r="A136" s="2" t="s">
        <v>538</v>
      </c>
      <c r="B136" s="2">
        <f>787352</f>
        <v>787352</v>
      </c>
      <c r="C136" s="2">
        <f>280709</f>
        <v>280709</v>
      </c>
      <c r="D136" s="2">
        <f>77527</f>
        <v>77527</v>
      </c>
      <c r="E136" s="2">
        <f t="shared" si="2"/>
        <v>1145588</v>
      </c>
    </row>
    <row r="137" spans="1:5" ht="12.75">
      <c r="A137" s="2" t="s">
        <v>744</v>
      </c>
      <c r="B137" s="2">
        <f>50265</f>
        <v>50265</v>
      </c>
      <c r="C137" s="2">
        <f>6373</f>
        <v>6373</v>
      </c>
      <c r="D137" s="2">
        <f>0</f>
        <v>0</v>
      </c>
      <c r="E137" s="2">
        <f t="shared" si="2"/>
        <v>56638</v>
      </c>
    </row>
    <row r="138" spans="1:5" ht="12.75">
      <c r="A138" s="2" t="s">
        <v>539</v>
      </c>
      <c r="B138" s="2">
        <f>216930</f>
        <v>216930</v>
      </c>
      <c r="C138" s="2">
        <f>24807</f>
        <v>24807</v>
      </c>
      <c r="D138" s="2">
        <f>692</f>
        <v>692</v>
      </c>
      <c r="E138" s="2">
        <f t="shared" si="2"/>
        <v>242429</v>
      </c>
    </row>
    <row r="139" spans="1:5" ht="12.75">
      <c r="A139" s="2" t="s">
        <v>540</v>
      </c>
      <c r="B139" s="2">
        <f>1078866</f>
        <v>1078866</v>
      </c>
      <c r="C139" s="2">
        <f>82751</f>
        <v>82751</v>
      </c>
      <c r="D139" s="2">
        <f>5453</f>
        <v>5453</v>
      </c>
      <c r="E139" s="2">
        <f t="shared" si="2"/>
        <v>1167070</v>
      </c>
    </row>
    <row r="140" spans="1:5" ht="12.75">
      <c r="A140" s="2" t="s">
        <v>541</v>
      </c>
      <c r="B140" s="2">
        <f>82489</f>
        <v>82489</v>
      </c>
      <c r="C140" s="2">
        <f>0</f>
        <v>0</v>
      </c>
      <c r="D140" s="2">
        <f>0</f>
        <v>0</v>
      </c>
      <c r="E140" s="2">
        <f>SUM(B16:M16)</f>
        <v>82489</v>
      </c>
    </row>
    <row r="141" spans="1:5" ht="12.75">
      <c r="A141" s="2" t="s">
        <v>542</v>
      </c>
      <c r="B141" s="2">
        <f>156953</f>
        <v>156953</v>
      </c>
      <c r="C141" s="2">
        <f>3866</f>
        <v>3866</v>
      </c>
      <c r="D141" s="2">
        <f>1566</f>
        <v>1566</v>
      </c>
      <c r="E141" s="2">
        <f aca="true" t="shared" si="3" ref="E141:E148">SUM(B17:M17,SUM(B79:O79))</f>
        <v>162385</v>
      </c>
    </row>
    <row r="142" spans="1:5" ht="12.75">
      <c r="A142" s="2" t="s">
        <v>543</v>
      </c>
      <c r="B142" s="2">
        <f>112902</f>
        <v>112902</v>
      </c>
      <c r="C142" s="2">
        <f>11016</f>
        <v>11016</v>
      </c>
      <c r="D142" s="2">
        <f>2750</f>
        <v>2750</v>
      </c>
      <c r="E142" s="2">
        <f t="shared" si="3"/>
        <v>126668</v>
      </c>
    </row>
    <row r="143" spans="1:5" ht="12.75">
      <c r="A143" s="2" t="s">
        <v>544</v>
      </c>
      <c r="B143" s="2">
        <f>9183</f>
        <v>9183</v>
      </c>
      <c r="C143" s="2">
        <f>657</f>
        <v>657</v>
      </c>
      <c r="D143" s="2">
        <f>114</f>
        <v>114</v>
      </c>
      <c r="E143" s="2">
        <f t="shared" si="3"/>
        <v>9954</v>
      </c>
    </row>
    <row r="144" spans="1:5" ht="12.75">
      <c r="A144" s="2" t="s">
        <v>545</v>
      </c>
      <c r="B144" s="2">
        <f>336778</f>
        <v>336778</v>
      </c>
      <c r="C144" s="2">
        <f>39969</f>
        <v>39969</v>
      </c>
      <c r="D144" s="2">
        <f>5023</f>
        <v>5023</v>
      </c>
      <c r="E144" s="2">
        <f t="shared" si="3"/>
        <v>381770</v>
      </c>
    </row>
    <row r="145" spans="1:5" ht="12.75">
      <c r="A145" s="2" t="s">
        <v>546</v>
      </c>
      <c r="B145" s="2">
        <f>47477</f>
        <v>47477</v>
      </c>
      <c r="C145" s="2">
        <f>1239</f>
        <v>1239</v>
      </c>
      <c r="D145" s="2">
        <f>0</f>
        <v>0</v>
      </c>
      <c r="E145" s="2">
        <f t="shared" si="3"/>
        <v>48716</v>
      </c>
    </row>
    <row r="146" spans="1:5" ht="12.75">
      <c r="A146" s="2" t="s">
        <v>547</v>
      </c>
      <c r="B146" s="2">
        <f>94782</f>
        <v>94782</v>
      </c>
      <c r="C146" s="2">
        <f>5515</f>
        <v>5515</v>
      </c>
      <c r="D146" s="2">
        <f>0</f>
        <v>0</v>
      </c>
      <c r="E146" s="2">
        <f t="shared" si="3"/>
        <v>100297</v>
      </c>
    </row>
    <row r="147" spans="1:5" ht="12.75">
      <c r="A147" s="2" t="s">
        <v>548</v>
      </c>
      <c r="B147" s="2">
        <f>1087095</f>
        <v>1087095</v>
      </c>
      <c r="C147" s="2">
        <f>14298</f>
        <v>14298</v>
      </c>
      <c r="D147" s="2">
        <f>1341</f>
        <v>1341</v>
      </c>
      <c r="E147" s="2">
        <f t="shared" si="3"/>
        <v>1102734</v>
      </c>
    </row>
    <row r="148" spans="1:5" ht="12.75">
      <c r="A148" s="2" t="s">
        <v>549</v>
      </c>
      <c r="B148" s="2">
        <f>2282</f>
        <v>2282</v>
      </c>
      <c r="C148" s="2">
        <f>1292</f>
        <v>1292</v>
      </c>
      <c r="D148" s="2">
        <f>355</f>
        <v>355</v>
      </c>
      <c r="E148" s="2">
        <f t="shared" si="3"/>
        <v>3929</v>
      </c>
    </row>
    <row r="149" spans="1:5" ht="12.75">
      <c r="A149" s="2" t="s">
        <v>550</v>
      </c>
      <c r="B149" s="2">
        <f>46912</f>
        <v>46912</v>
      </c>
      <c r="C149" s="2">
        <f>0</f>
        <v>0</v>
      </c>
      <c r="D149" s="2">
        <f>0</f>
        <v>0</v>
      </c>
      <c r="E149" s="2">
        <f>SUM(B25:M25)</f>
        <v>46912</v>
      </c>
    </row>
    <row r="150" spans="1:5" ht="12.75">
      <c r="A150" s="2" t="s">
        <v>551</v>
      </c>
      <c r="B150" s="2">
        <f>34870</f>
        <v>34870</v>
      </c>
      <c r="C150" s="2">
        <f>8612</f>
        <v>8612</v>
      </c>
      <c r="D150" s="2">
        <f>0</f>
        <v>0</v>
      </c>
      <c r="E150" s="2">
        <f>SUM(B26:M26,SUM(B87:O87))</f>
        <v>43482</v>
      </c>
    </row>
    <row r="151" spans="1:5" ht="12.75">
      <c r="A151" s="2" t="s">
        <v>552</v>
      </c>
      <c r="B151" s="2">
        <f>16077</f>
        <v>16077</v>
      </c>
      <c r="C151" s="2">
        <f>2176</f>
        <v>2176</v>
      </c>
      <c r="D151" s="2">
        <f>0</f>
        <v>0</v>
      </c>
      <c r="E151" s="2">
        <f>SUM(B27:M27,SUM(B88:O88))</f>
        <v>18253</v>
      </c>
    </row>
    <row r="152" spans="1:5" ht="12.75">
      <c r="A152" s="2" t="s">
        <v>553</v>
      </c>
      <c r="B152" s="2">
        <f>7401</f>
        <v>7401</v>
      </c>
      <c r="C152" s="2">
        <f>0</f>
        <v>0</v>
      </c>
      <c r="D152" s="2">
        <f>0</f>
        <v>0</v>
      </c>
      <c r="E152" s="2">
        <f>SUM(B28:M28)</f>
        <v>7401</v>
      </c>
    </row>
    <row r="153" spans="1:5" ht="12.75">
      <c r="A153" s="2" t="s">
        <v>554</v>
      </c>
      <c r="B153" s="2">
        <f>11386</f>
        <v>11386</v>
      </c>
      <c r="C153" s="2">
        <f>1990</f>
        <v>1990</v>
      </c>
      <c r="D153" s="2">
        <f>0</f>
        <v>0</v>
      </c>
      <c r="E153" s="2">
        <f aca="true" t="shared" si="4" ref="E153:E189">SUM(B29:M29,SUM(B89:O89))</f>
        <v>13376</v>
      </c>
    </row>
    <row r="154" spans="1:5" ht="12.75">
      <c r="A154" s="2" t="s">
        <v>555</v>
      </c>
      <c r="B154" s="2">
        <f>34076</f>
        <v>34076</v>
      </c>
      <c r="C154" s="2">
        <f>195345</f>
        <v>195345</v>
      </c>
      <c r="D154" s="2">
        <f>18992</f>
        <v>18992</v>
      </c>
      <c r="E154" s="2">
        <f t="shared" si="4"/>
        <v>248413</v>
      </c>
    </row>
    <row r="155" spans="1:5" ht="12.75">
      <c r="A155" s="2" t="s">
        <v>556</v>
      </c>
      <c r="B155" s="2">
        <f>942823</f>
        <v>942823</v>
      </c>
      <c r="C155" s="2">
        <f>4488204</f>
        <v>4488204</v>
      </c>
      <c r="D155" s="2">
        <f>388620</f>
        <v>388620</v>
      </c>
      <c r="E155" s="2">
        <f t="shared" si="4"/>
        <v>5819647</v>
      </c>
    </row>
    <row r="156" spans="1:5" ht="12.75">
      <c r="A156" s="2" t="s">
        <v>557</v>
      </c>
      <c r="B156" s="2">
        <f>1637</f>
        <v>1637</v>
      </c>
      <c r="C156" s="2">
        <f>1844</f>
        <v>1844</v>
      </c>
      <c r="D156" s="2">
        <f>0</f>
        <v>0</v>
      </c>
      <c r="E156" s="2">
        <f t="shared" si="4"/>
        <v>3481</v>
      </c>
    </row>
    <row r="157" spans="1:5" ht="12.75">
      <c r="A157" s="2" t="s">
        <v>558</v>
      </c>
      <c r="B157" s="2">
        <f>7725</f>
        <v>7725</v>
      </c>
      <c r="C157" s="2">
        <f>37094</f>
        <v>37094</v>
      </c>
      <c r="D157" s="2">
        <f>1058</f>
        <v>1058</v>
      </c>
      <c r="E157" s="2">
        <f t="shared" si="4"/>
        <v>45877</v>
      </c>
    </row>
    <row r="158" spans="1:5" ht="12.75">
      <c r="A158" s="2" t="s">
        <v>559</v>
      </c>
      <c r="B158" s="2">
        <f>147300</f>
        <v>147300</v>
      </c>
      <c r="C158" s="2">
        <f>523074</f>
        <v>523074</v>
      </c>
      <c r="D158" s="2">
        <f>154137</f>
        <v>154137</v>
      </c>
      <c r="E158" s="2">
        <f t="shared" si="4"/>
        <v>824511</v>
      </c>
    </row>
    <row r="159" spans="1:5" ht="12.75">
      <c r="A159" s="2" t="s">
        <v>560</v>
      </c>
      <c r="B159" s="2">
        <f>1275</f>
        <v>1275</v>
      </c>
      <c r="C159" s="2">
        <f>47197</f>
        <v>47197</v>
      </c>
      <c r="D159" s="2">
        <f>6012</f>
        <v>6012</v>
      </c>
      <c r="E159" s="2">
        <f t="shared" si="4"/>
        <v>54484</v>
      </c>
    </row>
    <row r="160" spans="1:5" ht="12.75">
      <c r="A160" s="2" t="s">
        <v>561</v>
      </c>
      <c r="B160" s="2">
        <f>7866</f>
        <v>7866</v>
      </c>
      <c r="C160" s="2">
        <f>241333</f>
        <v>241333</v>
      </c>
      <c r="D160" s="2">
        <f>11502</f>
        <v>11502</v>
      </c>
      <c r="E160" s="2">
        <f t="shared" si="4"/>
        <v>260701</v>
      </c>
    </row>
    <row r="161" spans="1:5" ht="12.75">
      <c r="A161" s="2" t="s">
        <v>562</v>
      </c>
      <c r="B161" s="2">
        <f>423</f>
        <v>423</v>
      </c>
      <c r="C161" s="2">
        <f>18792</f>
        <v>18792</v>
      </c>
      <c r="D161" s="2">
        <f>5</f>
        <v>5</v>
      </c>
      <c r="E161" s="2">
        <f t="shared" si="4"/>
        <v>19220</v>
      </c>
    </row>
    <row r="162" spans="1:5" ht="12.75">
      <c r="A162" s="2" t="s">
        <v>563</v>
      </c>
      <c r="B162" s="2">
        <f>21913</f>
        <v>21913</v>
      </c>
      <c r="C162" s="2">
        <f>127318</f>
        <v>127318</v>
      </c>
      <c r="D162" s="2">
        <f>10604</f>
        <v>10604</v>
      </c>
      <c r="E162" s="2">
        <f t="shared" si="4"/>
        <v>159835</v>
      </c>
    </row>
    <row r="163" spans="1:5" ht="12.75">
      <c r="A163" s="2" t="s">
        <v>746</v>
      </c>
      <c r="B163" s="2">
        <f>80</f>
        <v>80</v>
      </c>
      <c r="C163" s="2">
        <f>15</f>
        <v>15</v>
      </c>
      <c r="D163" s="2">
        <f>0</f>
        <v>0</v>
      </c>
      <c r="E163" s="2">
        <f t="shared" si="4"/>
        <v>95</v>
      </c>
    </row>
    <row r="164" spans="1:5" ht="12.75">
      <c r="A164" s="2" t="s">
        <v>564</v>
      </c>
      <c r="B164" s="2">
        <f>15316</f>
        <v>15316</v>
      </c>
      <c r="C164" s="2">
        <f>133</f>
        <v>133</v>
      </c>
      <c r="D164" s="2">
        <f>0</f>
        <v>0</v>
      </c>
      <c r="E164" s="2">
        <f t="shared" si="4"/>
        <v>15449</v>
      </c>
    </row>
    <row r="165" spans="1:5" ht="12.75">
      <c r="A165" s="2" t="s">
        <v>565</v>
      </c>
      <c r="B165" s="2">
        <f>141173</f>
        <v>141173</v>
      </c>
      <c r="C165" s="2">
        <f>15599</f>
        <v>15599</v>
      </c>
      <c r="D165" s="2">
        <f>0</f>
        <v>0</v>
      </c>
      <c r="E165" s="2">
        <f t="shared" si="4"/>
        <v>156772</v>
      </c>
    </row>
    <row r="166" spans="1:5" ht="12.75">
      <c r="A166" s="2" t="s">
        <v>566</v>
      </c>
      <c r="B166" s="2">
        <f>50623</f>
        <v>50623</v>
      </c>
      <c r="C166" s="2">
        <f>203</f>
        <v>203</v>
      </c>
      <c r="D166" s="2">
        <f>0</f>
        <v>0</v>
      </c>
      <c r="E166" s="2">
        <f t="shared" si="4"/>
        <v>50826</v>
      </c>
    </row>
    <row r="167" spans="1:5" ht="12.75">
      <c r="A167" s="2" t="s">
        <v>567</v>
      </c>
      <c r="B167" s="2">
        <f>12590</f>
        <v>12590</v>
      </c>
      <c r="C167" s="2">
        <f>346</f>
        <v>346</v>
      </c>
      <c r="D167" s="2">
        <f>0</f>
        <v>0</v>
      </c>
      <c r="E167" s="2">
        <f t="shared" si="4"/>
        <v>12936</v>
      </c>
    </row>
    <row r="168" spans="1:5" ht="12.75">
      <c r="A168" s="2" t="s">
        <v>568</v>
      </c>
      <c r="B168" s="2">
        <f>60929</f>
        <v>60929</v>
      </c>
      <c r="C168" s="2">
        <f>7614</f>
        <v>7614</v>
      </c>
      <c r="D168" s="2">
        <f>0</f>
        <v>0</v>
      </c>
      <c r="E168" s="2">
        <f t="shared" si="4"/>
        <v>68543</v>
      </c>
    </row>
    <row r="169" spans="1:5" ht="12.75">
      <c r="A169" s="2" t="s">
        <v>569</v>
      </c>
      <c r="B169" s="2">
        <f>70157</f>
        <v>70157</v>
      </c>
      <c r="C169" s="2">
        <f>5988</f>
        <v>5988</v>
      </c>
      <c r="D169" s="2">
        <f>0</f>
        <v>0</v>
      </c>
      <c r="E169" s="2">
        <f t="shared" si="4"/>
        <v>76145</v>
      </c>
    </row>
    <row r="170" spans="1:5" ht="12.75">
      <c r="A170" s="2" t="s">
        <v>570</v>
      </c>
      <c r="B170" s="2">
        <f>1104</f>
        <v>1104</v>
      </c>
      <c r="C170" s="2">
        <f>26004</f>
        <v>26004</v>
      </c>
      <c r="D170" s="2">
        <f>37</f>
        <v>37</v>
      </c>
      <c r="E170" s="2">
        <f t="shared" si="4"/>
        <v>27145</v>
      </c>
    </row>
    <row r="171" spans="1:5" ht="12.75">
      <c r="A171" s="2" t="s">
        <v>571</v>
      </c>
      <c r="B171" s="2">
        <f>8060</f>
        <v>8060</v>
      </c>
      <c r="C171" s="2">
        <f>41076</f>
        <v>41076</v>
      </c>
      <c r="D171" s="2">
        <f>928</f>
        <v>928</v>
      </c>
      <c r="E171" s="2">
        <f t="shared" si="4"/>
        <v>50064</v>
      </c>
    </row>
    <row r="172" spans="1:5" ht="12.75">
      <c r="A172" s="2" t="s">
        <v>572</v>
      </c>
      <c r="B172" s="2">
        <f>657</f>
        <v>657</v>
      </c>
      <c r="C172" s="2">
        <f>21808</f>
        <v>21808</v>
      </c>
      <c r="D172" s="2">
        <f>2295</f>
        <v>2295</v>
      </c>
      <c r="E172" s="2">
        <f t="shared" si="4"/>
        <v>24760</v>
      </c>
    </row>
    <row r="173" spans="1:5" ht="12.75">
      <c r="A173" s="2" t="s">
        <v>573</v>
      </c>
      <c r="B173" s="2">
        <f>1997</f>
        <v>1997</v>
      </c>
      <c r="C173" s="2">
        <f>76921</f>
        <v>76921</v>
      </c>
      <c r="D173" s="2">
        <f>8600</f>
        <v>8600</v>
      </c>
      <c r="E173" s="2">
        <f t="shared" si="4"/>
        <v>87518</v>
      </c>
    </row>
    <row r="174" spans="1:5" ht="12.75">
      <c r="A174" s="2" t="s">
        <v>574</v>
      </c>
      <c r="B174" s="2">
        <f>7185</f>
        <v>7185</v>
      </c>
      <c r="C174" s="2">
        <f>46943</f>
        <v>46943</v>
      </c>
      <c r="D174" s="2">
        <f>2544</f>
        <v>2544</v>
      </c>
      <c r="E174" s="2">
        <f t="shared" si="4"/>
        <v>56672</v>
      </c>
    </row>
    <row r="175" spans="1:5" ht="12.75">
      <c r="A175" s="2" t="s">
        <v>575</v>
      </c>
      <c r="B175" s="2">
        <f>907</f>
        <v>907</v>
      </c>
      <c r="C175" s="2">
        <f>5634</f>
        <v>5634</v>
      </c>
      <c r="D175" s="2">
        <f>391</f>
        <v>391</v>
      </c>
      <c r="E175" s="2">
        <f t="shared" si="4"/>
        <v>6932</v>
      </c>
    </row>
    <row r="176" spans="1:5" ht="12.75">
      <c r="A176" s="2" t="s">
        <v>576</v>
      </c>
      <c r="B176" s="2">
        <f>1687</f>
        <v>1687</v>
      </c>
      <c r="C176" s="2">
        <f>14742</f>
        <v>14742</v>
      </c>
      <c r="D176" s="2">
        <f>15147</f>
        <v>15147</v>
      </c>
      <c r="E176" s="2">
        <f t="shared" si="4"/>
        <v>31576</v>
      </c>
    </row>
    <row r="177" spans="1:5" ht="12.75">
      <c r="A177" s="2" t="s">
        <v>577</v>
      </c>
      <c r="B177" s="2">
        <f>723</f>
        <v>723</v>
      </c>
      <c r="C177" s="2">
        <f>26127</f>
        <v>26127</v>
      </c>
      <c r="D177" s="2">
        <f>25799</f>
        <v>25799</v>
      </c>
      <c r="E177" s="2">
        <f t="shared" si="4"/>
        <v>52649</v>
      </c>
    </row>
    <row r="178" spans="1:5" ht="12.75">
      <c r="A178" s="2" t="s">
        <v>578</v>
      </c>
      <c r="B178" s="2">
        <f>41534</f>
        <v>41534</v>
      </c>
      <c r="C178" s="2">
        <f>359874</f>
        <v>359874</v>
      </c>
      <c r="D178" s="2">
        <f>80565</f>
        <v>80565</v>
      </c>
      <c r="E178" s="2">
        <f t="shared" si="4"/>
        <v>481973</v>
      </c>
    </row>
    <row r="179" spans="1:5" ht="12.75">
      <c r="A179" s="2" t="s">
        <v>579</v>
      </c>
      <c r="B179" s="2">
        <f>9689</f>
        <v>9689</v>
      </c>
      <c r="C179" s="2">
        <f>125964</f>
        <v>125964</v>
      </c>
      <c r="D179" s="2">
        <f>77885</f>
        <v>77885</v>
      </c>
      <c r="E179" s="2">
        <f t="shared" si="4"/>
        <v>213538</v>
      </c>
    </row>
    <row r="180" spans="1:5" ht="12.75">
      <c r="A180" s="2" t="s">
        <v>580</v>
      </c>
      <c r="B180" s="2">
        <f>158</f>
        <v>158</v>
      </c>
      <c r="C180" s="2">
        <f>2243</f>
        <v>2243</v>
      </c>
      <c r="D180" s="2">
        <f>0</f>
        <v>0</v>
      </c>
      <c r="E180" s="2">
        <f t="shared" si="4"/>
        <v>2401</v>
      </c>
    </row>
    <row r="181" spans="1:5" ht="12.75">
      <c r="A181" s="2" t="s">
        <v>581</v>
      </c>
      <c r="B181" s="2">
        <f>13590</f>
        <v>13590</v>
      </c>
      <c r="C181" s="2">
        <f>201314</f>
        <v>201314</v>
      </c>
      <c r="D181" s="2">
        <f>16004</f>
        <v>16004</v>
      </c>
      <c r="E181" s="2">
        <f t="shared" si="4"/>
        <v>230908</v>
      </c>
    </row>
    <row r="182" spans="1:5" ht="12.75">
      <c r="A182" s="2" t="s">
        <v>582</v>
      </c>
      <c r="B182" s="2">
        <f>31283</f>
        <v>31283</v>
      </c>
      <c r="C182" s="2">
        <f>1367</f>
        <v>1367</v>
      </c>
      <c r="D182" s="2">
        <f>0</f>
        <v>0</v>
      </c>
      <c r="E182" s="2">
        <f t="shared" si="4"/>
        <v>32650</v>
      </c>
    </row>
    <row r="183" spans="1:5" ht="12.75">
      <c r="A183" s="2" t="s">
        <v>583</v>
      </c>
      <c r="B183" s="2">
        <f>103290</f>
        <v>103290</v>
      </c>
      <c r="C183" s="2">
        <f>5096</f>
        <v>5096</v>
      </c>
      <c r="D183" s="2">
        <f>0</f>
        <v>0</v>
      </c>
      <c r="E183" s="2">
        <f t="shared" si="4"/>
        <v>108386</v>
      </c>
    </row>
    <row r="184" spans="1:5" ht="12.75">
      <c r="A184" s="2" t="s">
        <v>584</v>
      </c>
      <c r="B184" s="2">
        <f>1304</f>
        <v>1304</v>
      </c>
      <c r="C184" s="2">
        <f>27211</f>
        <v>27211</v>
      </c>
      <c r="D184" s="2">
        <f>0</f>
        <v>0</v>
      </c>
      <c r="E184" s="2">
        <f t="shared" si="4"/>
        <v>28515</v>
      </c>
    </row>
    <row r="185" spans="1:5" ht="12.75">
      <c r="A185" s="2" t="s">
        <v>585</v>
      </c>
      <c r="B185" s="2">
        <f>23080</f>
        <v>23080</v>
      </c>
      <c r="C185" s="2">
        <f>233117</f>
        <v>233117</v>
      </c>
      <c r="D185" s="2">
        <f>53292</f>
        <v>53292</v>
      </c>
      <c r="E185" s="2">
        <f t="shared" si="4"/>
        <v>309489</v>
      </c>
    </row>
    <row r="186" spans="1:5" ht="12.75">
      <c r="A186" s="2" t="s">
        <v>586</v>
      </c>
      <c r="B186" s="2">
        <f>95565</f>
        <v>95565</v>
      </c>
      <c r="C186" s="2">
        <f>186713</f>
        <v>186713</v>
      </c>
      <c r="D186" s="2">
        <f>71627</f>
        <v>71627</v>
      </c>
      <c r="E186" s="2">
        <f t="shared" si="4"/>
        <v>353905</v>
      </c>
    </row>
    <row r="187" spans="1:5" ht="12.75">
      <c r="A187" s="2" t="s">
        <v>587</v>
      </c>
      <c r="B187" s="2">
        <f>367</f>
        <v>367</v>
      </c>
      <c r="C187" s="2">
        <f>5947</f>
        <v>5947</v>
      </c>
      <c r="D187" s="2">
        <f>7895</f>
        <v>7895</v>
      </c>
      <c r="E187" s="2">
        <f t="shared" si="4"/>
        <v>14209</v>
      </c>
    </row>
    <row r="188" spans="1:5" ht="12.75">
      <c r="A188" s="2" t="s">
        <v>588</v>
      </c>
      <c r="B188" s="2">
        <f>4914</f>
        <v>4914</v>
      </c>
      <c r="C188" s="2">
        <f>38330</f>
        <v>38330</v>
      </c>
      <c r="D188" s="2">
        <f>22005</f>
        <v>22005</v>
      </c>
      <c r="E188" s="2">
        <f t="shared" si="4"/>
        <v>65249</v>
      </c>
    </row>
    <row r="189" spans="1:5" ht="12.75">
      <c r="A189" s="2" t="s">
        <v>589</v>
      </c>
      <c r="B189" s="2">
        <f>665</f>
        <v>665</v>
      </c>
      <c r="C189" s="2">
        <f>4372</f>
        <v>4372</v>
      </c>
      <c r="D189" s="2">
        <f>36</f>
        <v>36</v>
      </c>
      <c r="E189" s="2">
        <f t="shared" si="4"/>
        <v>5073</v>
      </c>
    </row>
    <row r="190" spans="4:5" ht="12.75">
      <c r="D190" s="2" t="s">
        <v>203</v>
      </c>
      <c r="E190" s="2">
        <f>SUM(E131:E189)</f>
        <v>31966736</v>
      </c>
    </row>
  </sheetData>
  <sheetProtection/>
  <printOptions/>
  <pageMargins left="0.75" right="0.75" top="1" bottom="1" header="0.5" footer="0.5"/>
  <pageSetup fitToHeight="0" fitToWidth="0"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B40"/>
  <sheetViews>
    <sheetView zoomScalePageLayoutView="0" workbookViewId="0" topLeftCell="A1">
      <selection activeCell="A1" sqref="A1"/>
    </sheetView>
  </sheetViews>
  <sheetFormatPr defaultColWidth="9.140625" defaultRowHeight="12.75"/>
  <sheetData>
    <row r="1" ht="18">
      <c r="A1" s="1" t="s">
        <v>845</v>
      </c>
    </row>
    <row r="5" ht="12.75">
      <c r="A5" s="2" t="s">
        <v>846</v>
      </c>
    </row>
    <row r="6" spans="1:2" ht="12.75">
      <c r="A6" s="2" t="s">
        <v>847</v>
      </c>
      <c r="B6" s="2" t="s">
        <v>810</v>
      </c>
    </row>
    <row r="7" spans="1:2" ht="12.75">
      <c r="A7" t="s">
        <v>848</v>
      </c>
      <c r="B7" s="3">
        <v>459747</v>
      </c>
    </row>
    <row r="8" spans="1:2" ht="12.75">
      <c r="A8" t="s">
        <v>849</v>
      </c>
      <c r="B8" s="3">
        <v>239808</v>
      </c>
    </row>
    <row r="9" spans="1:2" ht="12.75">
      <c r="A9" t="s">
        <v>850</v>
      </c>
      <c r="B9" s="3">
        <v>430711</v>
      </c>
    </row>
    <row r="10" spans="1:2" ht="12.75">
      <c r="A10" t="s">
        <v>851</v>
      </c>
      <c r="B10" s="3">
        <v>235999</v>
      </c>
    </row>
    <row r="11" spans="1:2" ht="12.75">
      <c r="A11" t="s">
        <v>852</v>
      </c>
      <c r="B11" s="3">
        <v>0</v>
      </c>
    </row>
    <row r="12" spans="1:2" ht="12.75">
      <c r="A12" t="s">
        <v>853</v>
      </c>
      <c r="B12" s="3">
        <v>0</v>
      </c>
    </row>
    <row r="13" spans="1:2" ht="12.75">
      <c r="A13" t="s">
        <v>854</v>
      </c>
      <c r="B13" s="3">
        <v>0</v>
      </c>
    </row>
    <row r="14" spans="1:2" ht="12.75">
      <c r="A14" t="s">
        <v>855</v>
      </c>
      <c r="B14" s="3">
        <v>0</v>
      </c>
    </row>
    <row r="15" spans="1:2" ht="12.75">
      <c r="A15" t="s">
        <v>856</v>
      </c>
      <c r="B15" s="3">
        <v>998706</v>
      </c>
    </row>
    <row r="16" spans="1:2" ht="12.75">
      <c r="A16" t="s">
        <v>857</v>
      </c>
      <c r="B16" s="3">
        <v>7135957</v>
      </c>
    </row>
    <row r="17" spans="1:2" ht="12.75">
      <c r="A17" t="s">
        <v>858</v>
      </c>
      <c r="B17" s="3">
        <v>0</v>
      </c>
    </row>
    <row r="18" spans="1:2" ht="12.75">
      <c r="A18" t="s">
        <v>859</v>
      </c>
      <c r="B18" s="3">
        <v>946131</v>
      </c>
    </row>
    <row r="19" spans="1:2" ht="12.75">
      <c r="A19" t="s">
        <v>860</v>
      </c>
      <c r="B19" s="3">
        <v>12259055</v>
      </c>
    </row>
    <row r="20" spans="1:2" ht="12.75">
      <c r="A20" t="s">
        <v>861</v>
      </c>
      <c r="B20" s="3">
        <v>0</v>
      </c>
    </row>
    <row r="21" spans="1:2" ht="12.75">
      <c r="A21" t="s">
        <v>862</v>
      </c>
      <c r="B21" s="3">
        <v>507263</v>
      </c>
    </row>
    <row r="22" spans="1:2" ht="12.75">
      <c r="A22" t="s">
        <v>863</v>
      </c>
      <c r="B22" s="3">
        <v>0</v>
      </c>
    </row>
    <row r="23" spans="1:2" ht="12.75">
      <c r="A23" t="s">
        <v>864</v>
      </c>
      <c r="B23" s="3">
        <v>35403430</v>
      </c>
    </row>
    <row r="24" spans="1:2" ht="12.75">
      <c r="A24" t="s">
        <v>865</v>
      </c>
      <c r="B24" s="3">
        <v>0</v>
      </c>
    </row>
    <row r="25" spans="1:2" ht="12.75">
      <c r="A25" t="s">
        <v>866</v>
      </c>
      <c r="B25" s="3">
        <v>11254465</v>
      </c>
    </row>
    <row r="26" spans="1:2" ht="12.75">
      <c r="A26" t="s">
        <v>867</v>
      </c>
      <c r="B26" s="3">
        <v>0</v>
      </c>
    </row>
    <row r="27" spans="1:2" ht="12.75">
      <c r="A27" t="s">
        <v>868</v>
      </c>
      <c r="B27" s="3">
        <v>0</v>
      </c>
    </row>
    <row r="28" spans="1:2" ht="12.75">
      <c r="A28" t="s">
        <v>869</v>
      </c>
      <c r="B28" s="3">
        <v>0</v>
      </c>
    </row>
    <row r="29" spans="1:2" ht="12.75">
      <c r="A29" t="s">
        <v>870</v>
      </c>
      <c r="B29" s="3">
        <v>0</v>
      </c>
    </row>
    <row r="30" spans="1:2" ht="12.75">
      <c r="A30" t="s">
        <v>871</v>
      </c>
      <c r="B30" s="3">
        <v>0</v>
      </c>
    </row>
    <row r="31" spans="1:2" ht="12.75">
      <c r="A31" t="s">
        <v>872</v>
      </c>
      <c r="B31" s="3">
        <v>0</v>
      </c>
    </row>
    <row r="32" spans="1:2" ht="12.75">
      <c r="A32" t="s">
        <v>873</v>
      </c>
      <c r="B32" s="3">
        <v>27505</v>
      </c>
    </row>
    <row r="33" spans="1:2" ht="12.75">
      <c r="A33" t="s">
        <v>874</v>
      </c>
      <c r="B33" s="3">
        <v>1505504</v>
      </c>
    </row>
    <row r="34" spans="1:2" ht="12.75">
      <c r="A34" t="s">
        <v>875</v>
      </c>
      <c r="B34" s="3">
        <v>6146203</v>
      </c>
    </row>
    <row r="35" spans="1:2" ht="12.75">
      <c r="A35" t="s">
        <v>876</v>
      </c>
      <c r="B35" s="3">
        <v>2281774</v>
      </c>
    </row>
    <row r="36" spans="1:2" ht="12.75">
      <c r="A36" t="s">
        <v>877</v>
      </c>
      <c r="B36" s="3">
        <v>0</v>
      </c>
    </row>
    <row r="37" spans="1:2" ht="12.75">
      <c r="A37" t="s">
        <v>878</v>
      </c>
      <c r="B37" s="3">
        <v>2446151</v>
      </c>
    </row>
    <row r="39" spans="1:2" ht="12.75">
      <c r="A39" s="2" t="s">
        <v>527</v>
      </c>
      <c r="B39" s="6">
        <v>79212391</v>
      </c>
    </row>
    <row r="40" spans="1:2" ht="12.75">
      <c r="A40" t="s">
        <v>879</v>
      </c>
      <c r="B40" s="3" t="s">
        <v>880</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
    </sheetView>
  </sheetViews>
  <sheetFormatPr defaultColWidth="9.140625" defaultRowHeight="12.75"/>
  <sheetData>
    <row r="1" ht="18">
      <c r="A1" s="1" t="s">
        <v>86</v>
      </c>
    </row>
    <row r="2" ht="12.75">
      <c r="A2" s="2" t="s">
        <v>87</v>
      </c>
    </row>
    <row r="3" ht="12.75">
      <c r="A3" s="2" t="s">
        <v>88</v>
      </c>
    </row>
    <row r="4" ht="12.75">
      <c r="A4" s="2" t="s">
        <v>89</v>
      </c>
    </row>
    <row r="5" spans="2:11" ht="15.75">
      <c r="B5" s="4" t="s">
        <v>90</v>
      </c>
      <c r="E5" s="4" t="s">
        <v>91</v>
      </c>
      <c r="H5" s="4" t="s">
        <v>92</v>
      </c>
      <c r="K5" s="4" t="s">
        <v>93</v>
      </c>
    </row>
    <row r="6" spans="1:13" ht="12.75">
      <c r="A6" s="2" t="s">
        <v>11</v>
      </c>
      <c r="B6" s="2" t="s">
        <v>94</v>
      </c>
      <c r="C6" s="2" t="s">
        <v>95</v>
      </c>
      <c r="D6" s="2" t="s">
        <v>4</v>
      </c>
      <c r="E6" s="2" t="s">
        <v>94</v>
      </c>
      <c r="F6" s="2" t="s">
        <v>95</v>
      </c>
      <c r="G6" s="2" t="s">
        <v>4</v>
      </c>
      <c r="H6" s="2" t="s">
        <v>94</v>
      </c>
      <c r="I6" s="2" t="s">
        <v>95</v>
      </c>
      <c r="J6" s="2" t="s">
        <v>4</v>
      </c>
      <c r="K6" s="2" t="s">
        <v>94</v>
      </c>
      <c r="L6" s="2" t="s">
        <v>95</v>
      </c>
      <c r="M6" s="2" t="s">
        <v>4</v>
      </c>
    </row>
    <row r="7" spans="1:13" ht="12.75">
      <c r="A7" t="s">
        <v>96</v>
      </c>
      <c r="B7" s="3">
        <v>3</v>
      </c>
      <c r="C7" s="3">
        <v>3</v>
      </c>
      <c r="D7" s="3">
        <v>3</v>
      </c>
      <c r="E7" s="5">
        <v>3</v>
      </c>
      <c r="F7" s="5">
        <v>3</v>
      </c>
      <c r="G7" s="5">
        <v>3</v>
      </c>
      <c r="H7" s="3">
        <v>390751</v>
      </c>
      <c r="I7" s="3">
        <v>390751</v>
      </c>
      <c r="J7" s="3">
        <v>390525</v>
      </c>
      <c r="K7" s="3">
        <v>0</v>
      </c>
      <c r="L7" s="3">
        <v>0</v>
      </c>
      <c r="M7" s="3">
        <v>0</v>
      </c>
    </row>
    <row r="8" spans="1:13" ht="12.75">
      <c r="A8" t="s">
        <v>97</v>
      </c>
      <c r="B8" s="3">
        <v>446</v>
      </c>
      <c r="C8" s="3">
        <v>475</v>
      </c>
      <c r="D8" s="3">
        <v>475</v>
      </c>
      <c r="E8" s="5">
        <v>429.6300048828125</v>
      </c>
      <c r="F8" s="5">
        <v>458.30999755859375</v>
      </c>
      <c r="G8" s="5">
        <v>457.5400085449219</v>
      </c>
      <c r="H8" s="3">
        <v>36364711</v>
      </c>
      <c r="I8" s="3">
        <v>40744332</v>
      </c>
      <c r="J8" s="3">
        <v>40668460</v>
      </c>
      <c r="K8" s="3">
        <v>247152</v>
      </c>
      <c r="L8" s="3">
        <v>2385993</v>
      </c>
      <c r="M8" s="3">
        <v>275607</v>
      </c>
    </row>
    <row r="9" spans="1:13" ht="12.75">
      <c r="A9" t="s">
        <v>98</v>
      </c>
      <c r="B9" s="3">
        <v>39</v>
      </c>
      <c r="C9" s="3">
        <v>37</v>
      </c>
      <c r="D9" s="3">
        <v>33</v>
      </c>
      <c r="E9" s="5">
        <v>35.08000183105469</v>
      </c>
      <c r="F9" s="5">
        <v>37.58000183105469</v>
      </c>
      <c r="G9" s="5">
        <v>36</v>
      </c>
      <c r="H9" s="3">
        <v>3017624</v>
      </c>
      <c r="I9" s="3">
        <v>3273570</v>
      </c>
      <c r="J9" s="3">
        <v>3256995</v>
      </c>
      <c r="K9" s="3">
        <v>6444</v>
      </c>
      <c r="L9" s="3">
        <v>155810</v>
      </c>
      <c r="M9" s="3">
        <v>13808</v>
      </c>
    </row>
    <row r="10" spans="1:13" ht="12.75">
      <c r="A10" t="s">
        <v>99</v>
      </c>
      <c r="B10" s="3">
        <v>0</v>
      </c>
      <c r="C10" s="3">
        <v>0</v>
      </c>
      <c r="D10" s="3">
        <v>11</v>
      </c>
      <c r="E10" s="5">
        <v>0</v>
      </c>
      <c r="F10" s="5">
        <v>0</v>
      </c>
      <c r="G10" s="5">
        <v>11.210000038146973</v>
      </c>
      <c r="H10" s="3">
        <v>0</v>
      </c>
      <c r="I10" s="3">
        <v>0</v>
      </c>
      <c r="J10" s="3">
        <v>900413</v>
      </c>
      <c r="K10" s="3">
        <v>0</v>
      </c>
      <c r="L10" s="3">
        <v>0</v>
      </c>
      <c r="M10" s="3">
        <v>1051</v>
      </c>
    </row>
    <row r="11" spans="1:13" ht="12.75">
      <c r="A11" t="s">
        <v>100</v>
      </c>
      <c r="B11" s="3">
        <v>0</v>
      </c>
      <c r="C11" s="3">
        <v>0</v>
      </c>
      <c r="D11" s="3">
        <v>16</v>
      </c>
      <c r="E11" s="5">
        <v>0</v>
      </c>
      <c r="F11" s="5">
        <v>0</v>
      </c>
      <c r="G11" s="5">
        <v>15</v>
      </c>
      <c r="H11" s="3">
        <v>0</v>
      </c>
      <c r="I11" s="3">
        <v>0</v>
      </c>
      <c r="J11" s="3">
        <v>1087870</v>
      </c>
      <c r="K11" s="3">
        <v>0</v>
      </c>
      <c r="L11" s="3">
        <v>0</v>
      </c>
      <c r="M11" s="3">
        <v>4195</v>
      </c>
    </row>
    <row r="12" spans="1:13" ht="12.75">
      <c r="A12" t="s">
        <v>101</v>
      </c>
      <c r="B12" s="3">
        <v>0</v>
      </c>
      <c r="C12" s="3">
        <v>0</v>
      </c>
      <c r="D12" s="3">
        <v>5</v>
      </c>
      <c r="E12" s="5">
        <v>0</v>
      </c>
      <c r="F12" s="5">
        <v>0</v>
      </c>
      <c r="G12" s="5">
        <v>5</v>
      </c>
      <c r="H12" s="3">
        <v>0</v>
      </c>
      <c r="I12" s="3">
        <v>0</v>
      </c>
      <c r="J12" s="3">
        <v>383994</v>
      </c>
      <c r="K12" s="3">
        <v>0</v>
      </c>
      <c r="L12" s="3">
        <v>0</v>
      </c>
      <c r="M12" s="3">
        <v>0</v>
      </c>
    </row>
    <row r="13" spans="1:13" ht="12.75">
      <c r="A13" t="s">
        <v>102</v>
      </c>
      <c r="B13" s="3">
        <v>0</v>
      </c>
      <c r="C13" s="3">
        <v>0</v>
      </c>
      <c r="D13" s="3">
        <v>42</v>
      </c>
      <c r="E13" s="5">
        <v>0</v>
      </c>
      <c r="F13" s="5">
        <v>0</v>
      </c>
      <c r="G13" s="5">
        <v>43.41999816894531</v>
      </c>
      <c r="H13" s="3">
        <v>0</v>
      </c>
      <c r="I13" s="3">
        <v>0</v>
      </c>
      <c r="J13" s="3">
        <v>3126346</v>
      </c>
      <c r="K13" s="3">
        <v>0</v>
      </c>
      <c r="L13" s="3">
        <v>0</v>
      </c>
      <c r="M13" s="3">
        <v>923</v>
      </c>
    </row>
    <row r="14" spans="1:13" ht="12.75">
      <c r="A14" t="s">
        <v>103</v>
      </c>
      <c r="B14" s="3">
        <v>3</v>
      </c>
      <c r="C14" s="3">
        <v>6</v>
      </c>
      <c r="D14" s="3">
        <v>8</v>
      </c>
      <c r="E14" s="5">
        <v>3</v>
      </c>
      <c r="F14" s="5">
        <v>5.230000019073486</v>
      </c>
      <c r="G14" s="5">
        <v>6.829999923706055</v>
      </c>
      <c r="H14" s="3">
        <v>229888</v>
      </c>
      <c r="I14" s="3">
        <v>1005273</v>
      </c>
      <c r="J14" s="3">
        <v>450804</v>
      </c>
      <c r="K14" s="3">
        <v>4219</v>
      </c>
      <c r="L14" s="3">
        <v>31106</v>
      </c>
      <c r="M14" s="3">
        <v>1412</v>
      </c>
    </row>
    <row r="15" spans="1:13" ht="12.75">
      <c r="A15" t="s">
        <v>104</v>
      </c>
      <c r="B15" s="3">
        <v>1120</v>
      </c>
      <c r="C15" s="3">
        <v>1255</v>
      </c>
      <c r="D15" s="3">
        <v>1265</v>
      </c>
      <c r="E15" s="5">
        <v>1090.68994140625</v>
      </c>
      <c r="F15" s="5">
        <v>1149.6800537109375</v>
      </c>
      <c r="G15" s="5">
        <v>1246.1800537109375</v>
      </c>
      <c r="H15" s="3">
        <v>35087237</v>
      </c>
      <c r="I15" s="3">
        <v>39520561</v>
      </c>
      <c r="J15" s="3">
        <v>40673434</v>
      </c>
      <c r="K15" s="3">
        <v>255662</v>
      </c>
      <c r="L15" s="3">
        <v>576065</v>
      </c>
      <c r="M15" s="3">
        <v>597293</v>
      </c>
    </row>
    <row r="16" spans="1:13" ht="12.75">
      <c r="A16" t="s">
        <v>105</v>
      </c>
      <c r="B16" s="3">
        <v>151</v>
      </c>
      <c r="C16" s="3">
        <v>150</v>
      </c>
      <c r="D16" s="3">
        <v>151</v>
      </c>
      <c r="E16" s="5">
        <v>149.83999633789062</v>
      </c>
      <c r="F16" s="5">
        <v>147.2100067138672</v>
      </c>
      <c r="G16" s="5">
        <v>151.05999755859375</v>
      </c>
      <c r="H16" s="3">
        <v>5043736</v>
      </c>
      <c r="I16" s="3">
        <v>5183826</v>
      </c>
      <c r="J16" s="3">
        <v>5106133</v>
      </c>
      <c r="K16" s="3">
        <v>45944</v>
      </c>
      <c r="L16" s="3">
        <v>90519</v>
      </c>
      <c r="M16" s="3">
        <v>69549</v>
      </c>
    </row>
    <row r="17" spans="1:13" ht="12.75">
      <c r="A17" t="s">
        <v>106</v>
      </c>
      <c r="B17" s="3">
        <v>37</v>
      </c>
      <c r="C17" s="3">
        <v>38</v>
      </c>
      <c r="D17" s="3">
        <v>42</v>
      </c>
      <c r="E17" s="5">
        <v>36.709999084472656</v>
      </c>
      <c r="F17" s="5">
        <v>33.93000030517578</v>
      </c>
      <c r="G17" s="5">
        <v>35.349998474121094</v>
      </c>
      <c r="H17" s="3">
        <v>1305754</v>
      </c>
      <c r="I17" s="3">
        <v>1104578</v>
      </c>
      <c r="J17" s="3">
        <v>1333282</v>
      </c>
      <c r="K17" s="3">
        <v>35033</v>
      </c>
      <c r="L17" s="3">
        <v>17699</v>
      </c>
      <c r="M17" s="3">
        <v>33826</v>
      </c>
    </row>
    <row r="18" spans="1:13" ht="12.75">
      <c r="A18" t="s">
        <v>107</v>
      </c>
      <c r="B18" s="3">
        <v>88</v>
      </c>
      <c r="C18" s="3">
        <v>87</v>
      </c>
      <c r="D18" s="3">
        <v>86</v>
      </c>
      <c r="E18" s="5">
        <v>84.55000305175781</v>
      </c>
      <c r="F18" s="5">
        <v>83.61000061035156</v>
      </c>
      <c r="G18" s="5">
        <v>80.70999908447266</v>
      </c>
      <c r="H18" s="3">
        <v>2491821</v>
      </c>
      <c r="I18" s="3">
        <v>2628269</v>
      </c>
      <c r="J18" s="3">
        <v>2430476</v>
      </c>
      <c r="K18" s="3">
        <v>2639</v>
      </c>
      <c r="L18" s="3">
        <v>19699</v>
      </c>
      <c r="M18" s="3">
        <v>28332</v>
      </c>
    </row>
    <row r="19" spans="1:13" ht="12.75">
      <c r="A19" t="s">
        <v>108</v>
      </c>
      <c r="B19" s="3">
        <v>5</v>
      </c>
      <c r="C19" s="3">
        <v>5</v>
      </c>
      <c r="D19" s="3">
        <v>6</v>
      </c>
      <c r="E19" s="5">
        <v>4.139999866485596</v>
      </c>
      <c r="F19" s="5">
        <v>6.260000228881836</v>
      </c>
      <c r="G19" s="5">
        <v>5.949999809265137</v>
      </c>
      <c r="H19" s="3">
        <v>337423</v>
      </c>
      <c r="I19" s="3">
        <v>456276</v>
      </c>
      <c r="J19" s="3">
        <v>545202</v>
      </c>
      <c r="K19" s="3">
        <v>6813</v>
      </c>
      <c r="L19" s="3">
        <v>23402</v>
      </c>
      <c r="M19" s="3">
        <v>40903</v>
      </c>
    </row>
    <row r="20" spans="1:13" ht="12.75">
      <c r="A20" t="s">
        <v>109</v>
      </c>
      <c r="B20" s="3">
        <v>2</v>
      </c>
      <c r="C20" s="3">
        <v>2</v>
      </c>
      <c r="D20" s="3">
        <v>2</v>
      </c>
      <c r="E20" s="5">
        <v>2</v>
      </c>
      <c r="F20" s="5">
        <v>2</v>
      </c>
      <c r="G20" s="5">
        <v>2</v>
      </c>
      <c r="H20" s="3">
        <v>203353</v>
      </c>
      <c r="I20" s="3">
        <v>222469</v>
      </c>
      <c r="J20" s="3">
        <v>259041</v>
      </c>
      <c r="K20" s="3">
        <v>6270</v>
      </c>
      <c r="L20" s="3">
        <v>16135</v>
      </c>
      <c r="M20" s="3">
        <v>23441</v>
      </c>
    </row>
    <row r="21" spans="1:13" ht="12.75">
      <c r="A21" t="s">
        <v>110</v>
      </c>
      <c r="B21" s="3">
        <v>355</v>
      </c>
      <c r="C21" s="3">
        <v>343</v>
      </c>
      <c r="D21" s="3">
        <v>338</v>
      </c>
      <c r="E21" s="5">
        <v>349.6300048828125</v>
      </c>
      <c r="F21" s="5">
        <v>343.3999938964844</v>
      </c>
      <c r="G21" s="5">
        <v>338.2799987792969</v>
      </c>
      <c r="H21" s="3">
        <v>8949873</v>
      </c>
      <c r="I21" s="3">
        <v>9293093</v>
      </c>
      <c r="J21" s="3">
        <v>8714940</v>
      </c>
      <c r="K21" s="3">
        <v>165473</v>
      </c>
      <c r="L21" s="3">
        <v>125669</v>
      </c>
      <c r="M21" s="3">
        <v>105459</v>
      </c>
    </row>
    <row r="22" spans="1:13" ht="12.75">
      <c r="A22" t="s">
        <v>111</v>
      </c>
      <c r="B22" s="3">
        <v>3</v>
      </c>
      <c r="C22" s="3">
        <v>3</v>
      </c>
      <c r="D22" s="3">
        <v>10</v>
      </c>
      <c r="E22" s="5">
        <v>3.6700000762939453</v>
      </c>
      <c r="F22" s="5">
        <v>2.4600000381469727</v>
      </c>
      <c r="G22" s="5">
        <v>7.550000190734863</v>
      </c>
      <c r="H22" s="3">
        <v>237380</v>
      </c>
      <c r="I22" s="3">
        <v>199318</v>
      </c>
      <c r="J22" s="3">
        <v>511043</v>
      </c>
      <c r="K22" s="3">
        <v>3289</v>
      </c>
      <c r="L22" s="3">
        <v>35638</v>
      </c>
      <c r="M22" s="3">
        <v>20602</v>
      </c>
    </row>
    <row r="23" spans="1:13" ht="12.75">
      <c r="A23" t="s">
        <v>112</v>
      </c>
      <c r="B23" s="3">
        <v>266</v>
      </c>
      <c r="C23" s="3">
        <v>250</v>
      </c>
      <c r="D23" s="3">
        <v>230</v>
      </c>
      <c r="E23" s="5">
        <v>275.94000244140625</v>
      </c>
      <c r="F23" s="5">
        <v>249.7100067138672</v>
      </c>
      <c r="G23" s="5">
        <v>234.72999572753906</v>
      </c>
      <c r="H23" s="3">
        <v>7765026</v>
      </c>
      <c r="I23" s="3">
        <v>7491196</v>
      </c>
      <c r="J23" s="3">
        <v>6808841</v>
      </c>
      <c r="K23" s="3">
        <v>45463</v>
      </c>
      <c r="L23" s="3">
        <v>98233</v>
      </c>
      <c r="M23" s="3">
        <v>83744</v>
      </c>
    </row>
    <row r="24" spans="1:13" ht="12.75">
      <c r="A24" t="s">
        <v>113</v>
      </c>
      <c r="B24" s="3">
        <v>0</v>
      </c>
      <c r="C24" s="3">
        <v>0</v>
      </c>
      <c r="D24" s="3">
        <v>0</v>
      </c>
      <c r="E24" s="5">
        <v>1</v>
      </c>
      <c r="F24" s="5">
        <v>0</v>
      </c>
      <c r="G24" s="5">
        <v>0</v>
      </c>
      <c r="H24" s="3">
        <v>19052</v>
      </c>
      <c r="I24" s="3">
        <v>0</v>
      </c>
      <c r="J24" s="3">
        <v>0</v>
      </c>
      <c r="K24" s="3">
        <v>0</v>
      </c>
      <c r="L24" s="3">
        <v>0</v>
      </c>
      <c r="M24" s="3">
        <v>0</v>
      </c>
    </row>
    <row r="25" spans="1:13" ht="12.75">
      <c r="A25" s="2" t="s">
        <v>114</v>
      </c>
      <c r="B25" s="6">
        <f aca="true" t="shared" si="0" ref="B25:M25">SUM(B7:B24)</f>
        <v>2518</v>
      </c>
      <c r="C25" s="6">
        <f t="shared" si="0"/>
        <v>2654</v>
      </c>
      <c r="D25" s="6">
        <f t="shared" si="0"/>
        <v>2723</v>
      </c>
      <c r="E25" s="5">
        <f t="shared" si="0"/>
        <v>2468.8799538612366</v>
      </c>
      <c r="F25" s="5">
        <f t="shared" si="0"/>
        <v>2522.3800616264343</v>
      </c>
      <c r="G25" s="5">
        <f t="shared" si="0"/>
        <v>2679.810050010681</v>
      </c>
      <c r="H25" s="6">
        <f t="shared" si="0"/>
        <v>101443629</v>
      </c>
      <c r="I25" s="6">
        <f t="shared" si="0"/>
        <v>111513512</v>
      </c>
      <c r="J25" s="6">
        <f t="shared" si="0"/>
        <v>116647799</v>
      </c>
      <c r="K25" s="6">
        <f t="shared" si="0"/>
        <v>824401</v>
      </c>
      <c r="L25" s="6">
        <f t="shared" si="0"/>
        <v>3575968</v>
      </c>
      <c r="M25" s="6">
        <f t="shared" si="0"/>
        <v>1300145</v>
      </c>
    </row>
    <row r="26" spans="5:10" ht="12.75">
      <c r="E26" s="10" t="s">
        <v>115</v>
      </c>
      <c r="F26" s="11"/>
      <c r="G26" s="11"/>
      <c r="H26" s="3">
        <v>61235744</v>
      </c>
      <c r="I26" s="3">
        <v>65319696</v>
      </c>
      <c r="J26" s="3">
        <v>79212391</v>
      </c>
    </row>
    <row r="27" spans="5:10" ht="12.75">
      <c r="E27" s="10" t="s">
        <v>116</v>
      </c>
      <c r="F27" s="11"/>
      <c r="G27" s="11"/>
      <c r="H27" s="6">
        <f>SUM(H25:H26)</f>
        <v>162679373</v>
      </c>
      <c r="I27" s="6">
        <f>SUM(I25:I26)</f>
        <v>176833208</v>
      </c>
      <c r="J27" s="6">
        <f>SUM(J25:J26)</f>
        <v>195860190</v>
      </c>
    </row>
  </sheetData>
  <sheetProtection/>
  <mergeCells count="2">
    <mergeCell ref="E26:G26"/>
    <mergeCell ref="E27:G27"/>
  </mergeCells>
  <printOptions/>
  <pageMargins left="0.75" right="0.75" top="1" bottom="1" header="0.5" footer="0.5"/>
  <pageSetup fitToHeight="0" fitToWidth="0"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C71"/>
  <sheetViews>
    <sheetView zoomScalePageLayoutView="0" workbookViewId="0" topLeftCell="A1">
      <selection activeCell="A1" sqref="A1"/>
    </sheetView>
  </sheetViews>
  <sheetFormatPr defaultColWidth="9.140625" defaultRowHeight="12.75"/>
  <sheetData>
    <row r="1" ht="18">
      <c r="A1" s="1" t="s">
        <v>881</v>
      </c>
    </row>
    <row r="5" ht="12.75">
      <c r="A5" s="2" t="s">
        <v>882</v>
      </c>
    </row>
    <row r="6" spans="1:2" ht="12.75">
      <c r="A6" s="2" t="s">
        <v>847</v>
      </c>
      <c r="B6" s="2" t="s">
        <v>883</v>
      </c>
    </row>
    <row r="7" spans="2:3" ht="12.75">
      <c r="B7" t="s">
        <v>884</v>
      </c>
      <c r="C7" t="s">
        <v>885</v>
      </c>
    </row>
    <row r="8" spans="1:3" ht="15">
      <c r="A8" s="9" t="s">
        <v>233</v>
      </c>
      <c r="B8" s="9" t="s">
        <v>11</v>
      </c>
      <c r="C8" s="9" t="s">
        <v>11</v>
      </c>
    </row>
    <row r="9" spans="1:3" ht="12.75">
      <c r="A9" s="2" t="s">
        <v>886</v>
      </c>
      <c r="B9" s="2" t="s">
        <v>11</v>
      </c>
      <c r="C9" s="2" t="s">
        <v>11</v>
      </c>
    </row>
    <row r="10" spans="1:3" ht="12.75">
      <c r="A10" t="s">
        <v>816</v>
      </c>
      <c r="B10" s="3">
        <v>0</v>
      </c>
      <c r="C10" s="3">
        <v>5483309</v>
      </c>
    </row>
    <row r="11" spans="1:3" ht="12.75">
      <c r="A11" t="s">
        <v>887</v>
      </c>
      <c r="B11" s="3">
        <v>0</v>
      </c>
      <c r="C11" s="3">
        <v>362422</v>
      </c>
    </row>
    <row r="12" spans="1:3" ht="12.75">
      <c r="A12" t="s">
        <v>888</v>
      </c>
      <c r="B12" s="3">
        <v>0</v>
      </c>
      <c r="C12" s="3">
        <v>4491003</v>
      </c>
    </row>
    <row r="13" spans="1:3" ht="12.75">
      <c r="A13" t="s">
        <v>889</v>
      </c>
      <c r="B13" s="3">
        <v>0</v>
      </c>
      <c r="C13" s="3">
        <v>33936</v>
      </c>
    </row>
    <row r="14" spans="1:3" ht="12.75">
      <c r="A14" t="s">
        <v>890</v>
      </c>
      <c r="B14" s="3" t="s">
        <v>235</v>
      </c>
      <c r="C14" s="3" t="s">
        <v>237</v>
      </c>
    </row>
    <row r="15" spans="1:3" ht="12.75">
      <c r="A15" t="s">
        <v>891</v>
      </c>
      <c r="B15" s="3" t="s">
        <v>235</v>
      </c>
      <c r="C15" s="3" t="s">
        <v>237</v>
      </c>
    </row>
    <row r="16" spans="1:3" ht="15">
      <c r="A16" s="9" t="s">
        <v>238</v>
      </c>
      <c r="B16" s="9" t="s">
        <v>11</v>
      </c>
      <c r="C16" s="9" t="s">
        <v>11</v>
      </c>
    </row>
    <row r="17" spans="1:3" ht="12.75">
      <c r="A17" s="2" t="s">
        <v>886</v>
      </c>
      <c r="B17" s="2" t="s">
        <v>11</v>
      </c>
      <c r="C17" s="2" t="s">
        <v>11</v>
      </c>
    </row>
    <row r="18" spans="1:3" ht="12.75">
      <c r="A18" t="s">
        <v>818</v>
      </c>
      <c r="B18" s="3">
        <v>0</v>
      </c>
      <c r="C18" s="3">
        <v>2810955</v>
      </c>
    </row>
    <row r="19" spans="1:3" ht="12.75">
      <c r="A19" t="s">
        <v>892</v>
      </c>
      <c r="B19" s="3">
        <v>0</v>
      </c>
      <c r="C19" s="3">
        <v>90450</v>
      </c>
    </row>
    <row r="20" spans="1:3" ht="12.75">
      <c r="A20" t="s">
        <v>893</v>
      </c>
      <c r="B20" s="3" t="s">
        <v>235</v>
      </c>
      <c r="C20" s="3" t="s">
        <v>240</v>
      </c>
    </row>
    <row r="21" spans="1:3" ht="12.75">
      <c r="A21" t="s">
        <v>894</v>
      </c>
      <c r="B21" s="3" t="s">
        <v>235</v>
      </c>
      <c r="C21" s="3" t="s">
        <v>240</v>
      </c>
    </row>
    <row r="22" spans="1:3" ht="15">
      <c r="A22" s="9" t="s">
        <v>241</v>
      </c>
      <c r="B22" s="9" t="s">
        <v>11</v>
      </c>
      <c r="C22" s="9" t="s">
        <v>11</v>
      </c>
    </row>
    <row r="23" spans="1:3" ht="12.75">
      <c r="A23" s="2" t="s">
        <v>886</v>
      </c>
      <c r="B23" s="2" t="s">
        <v>11</v>
      </c>
      <c r="C23" s="2" t="s">
        <v>11</v>
      </c>
    </row>
    <row r="24" spans="1:3" ht="12.75">
      <c r="A24" t="s">
        <v>895</v>
      </c>
      <c r="B24" s="3">
        <v>0</v>
      </c>
      <c r="C24" s="3">
        <v>2108464</v>
      </c>
    </row>
    <row r="25" spans="1:3" ht="12.75">
      <c r="A25" t="s">
        <v>896</v>
      </c>
      <c r="B25" s="3" t="s">
        <v>235</v>
      </c>
      <c r="C25" s="3" t="s">
        <v>243</v>
      </c>
    </row>
    <row r="26" spans="1:3" ht="12.75">
      <c r="A26" t="s">
        <v>897</v>
      </c>
      <c r="B26" s="3" t="s">
        <v>235</v>
      </c>
      <c r="C26" s="3" t="s">
        <v>243</v>
      </c>
    </row>
    <row r="27" spans="1:3" ht="12.75">
      <c r="A27" s="2" t="s">
        <v>203</v>
      </c>
      <c r="B27" s="6">
        <f>SUM(B8:B26)</f>
        <v>0</v>
      </c>
      <c r="C27" s="6">
        <f>SUM(C8:C26)</f>
        <v>15380539</v>
      </c>
    </row>
    <row r="30" ht="12.75">
      <c r="A30" s="2" t="s">
        <v>898</v>
      </c>
    </row>
    <row r="31" spans="1:2" ht="12.75">
      <c r="A31" s="2" t="s">
        <v>847</v>
      </c>
      <c r="B31" s="2" t="s">
        <v>883</v>
      </c>
    </row>
    <row r="32" spans="2:3" ht="12.75">
      <c r="B32" t="s">
        <v>884</v>
      </c>
      <c r="C32" t="s">
        <v>885</v>
      </c>
    </row>
    <row r="33" spans="1:3" ht="15">
      <c r="A33" s="9" t="s">
        <v>279</v>
      </c>
      <c r="B33" s="9" t="s">
        <v>11</v>
      </c>
      <c r="C33" s="9" t="s">
        <v>11</v>
      </c>
    </row>
    <row r="34" spans="1:3" ht="12.75">
      <c r="A34" s="2" t="s">
        <v>886</v>
      </c>
      <c r="B34" s="2" t="s">
        <v>11</v>
      </c>
      <c r="C34" s="2" t="s">
        <v>11</v>
      </c>
    </row>
    <row r="35" spans="1:3" ht="12.75">
      <c r="A35" t="s">
        <v>816</v>
      </c>
      <c r="B35" s="3">
        <v>0</v>
      </c>
      <c r="C35" s="3">
        <v>382644</v>
      </c>
    </row>
    <row r="36" spans="1:3" ht="12.75">
      <c r="A36" t="s">
        <v>887</v>
      </c>
      <c r="B36" s="3">
        <v>0</v>
      </c>
      <c r="C36" s="3">
        <v>47331</v>
      </c>
    </row>
    <row r="37" spans="1:3" ht="12.75">
      <c r="A37" t="s">
        <v>889</v>
      </c>
      <c r="B37" s="3">
        <v>0</v>
      </c>
      <c r="C37" s="3">
        <v>1608</v>
      </c>
    </row>
    <row r="38" spans="1:3" ht="12.75">
      <c r="A38" t="s">
        <v>899</v>
      </c>
      <c r="B38" s="3" t="s">
        <v>235</v>
      </c>
      <c r="C38" s="3" t="s">
        <v>280</v>
      </c>
    </row>
    <row r="39" spans="1:3" ht="12.75">
      <c r="A39" t="s">
        <v>900</v>
      </c>
      <c r="B39" s="3" t="s">
        <v>235</v>
      </c>
      <c r="C39" s="3" t="s">
        <v>280</v>
      </c>
    </row>
    <row r="40" spans="1:3" ht="15">
      <c r="A40" s="9" t="s">
        <v>283</v>
      </c>
      <c r="B40" s="9" t="s">
        <v>11</v>
      </c>
      <c r="C40" s="9" t="s">
        <v>11</v>
      </c>
    </row>
    <row r="41" spans="1:3" ht="12.75">
      <c r="A41" s="2" t="s">
        <v>886</v>
      </c>
      <c r="B41" s="2" t="s">
        <v>11</v>
      </c>
      <c r="C41" s="2" t="s">
        <v>11</v>
      </c>
    </row>
    <row r="42" spans="1:3" ht="12.75">
      <c r="A42" t="s">
        <v>818</v>
      </c>
      <c r="B42" s="3">
        <v>0</v>
      </c>
      <c r="C42" s="3">
        <v>149814</v>
      </c>
    </row>
    <row r="43" spans="1:3" ht="12.75">
      <c r="A43" t="s">
        <v>901</v>
      </c>
      <c r="B43" s="3">
        <v>0</v>
      </c>
      <c r="C43" s="3">
        <v>6133</v>
      </c>
    </row>
    <row r="44" spans="1:3" ht="12.75">
      <c r="A44" t="s">
        <v>902</v>
      </c>
      <c r="B44" s="3" t="s">
        <v>235</v>
      </c>
      <c r="C44" s="3" t="s">
        <v>284</v>
      </c>
    </row>
    <row r="45" spans="1:3" ht="12.75">
      <c r="A45" t="s">
        <v>903</v>
      </c>
      <c r="B45" s="3" t="s">
        <v>235</v>
      </c>
      <c r="C45" s="3" t="s">
        <v>284</v>
      </c>
    </row>
    <row r="46" spans="1:3" ht="12.75">
      <c r="A46" s="2" t="s">
        <v>203</v>
      </c>
      <c r="B46" s="6">
        <f>SUM(B33:B45)</f>
        <v>0</v>
      </c>
      <c r="C46" s="6">
        <f>SUM(C33:C45)</f>
        <v>587530</v>
      </c>
    </row>
    <row r="49" ht="12.75">
      <c r="A49" s="2" t="s">
        <v>904</v>
      </c>
    </row>
    <row r="50" spans="1:2" ht="12.75">
      <c r="A50" s="2" t="s">
        <v>847</v>
      </c>
      <c r="B50" s="2" t="s">
        <v>883</v>
      </c>
    </row>
    <row r="51" spans="2:3" ht="12.75">
      <c r="B51" t="s">
        <v>884</v>
      </c>
      <c r="C51" t="s">
        <v>885</v>
      </c>
    </row>
    <row r="52" spans="1:3" ht="15">
      <c r="A52" s="9" t="s">
        <v>255</v>
      </c>
      <c r="B52" s="9" t="s">
        <v>11</v>
      </c>
      <c r="C52" s="9" t="s">
        <v>11</v>
      </c>
    </row>
    <row r="53" spans="1:3" ht="12.75">
      <c r="A53" s="2" t="s">
        <v>886</v>
      </c>
      <c r="B53" s="2" t="s">
        <v>11</v>
      </c>
      <c r="C53" s="2" t="s">
        <v>11</v>
      </c>
    </row>
    <row r="54" spans="1:3" ht="12.75">
      <c r="A54" t="s">
        <v>905</v>
      </c>
      <c r="B54" s="3">
        <v>0</v>
      </c>
      <c r="C54" s="3">
        <v>63523</v>
      </c>
    </row>
    <row r="55" spans="1:3" ht="12.75">
      <c r="A55" t="s">
        <v>906</v>
      </c>
      <c r="B55" s="3">
        <v>0</v>
      </c>
      <c r="C55" s="3">
        <v>2625773</v>
      </c>
    </row>
    <row r="56" spans="1:3" ht="12.75">
      <c r="A56" t="s">
        <v>907</v>
      </c>
      <c r="B56" s="3">
        <v>0</v>
      </c>
      <c r="C56" s="3">
        <v>940259</v>
      </c>
    </row>
    <row r="57" spans="1:3" ht="12.75">
      <c r="A57" t="s">
        <v>901</v>
      </c>
      <c r="B57" s="3">
        <v>0</v>
      </c>
      <c r="C57" s="3">
        <v>4016938</v>
      </c>
    </row>
    <row r="58" spans="1:3" ht="12.75">
      <c r="A58" t="s">
        <v>908</v>
      </c>
      <c r="B58" s="3">
        <v>0</v>
      </c>
      <c r="C58" s="3">
        <v>317213</v>
      </c>
    </row>
    <row r="59" spans="1:3" ht="12.75">
      <c r="A59" t="s">
        <v>909</v>
      </c>
      <c r="B59" s="3">
        <v>0</v>
      </c>
      <c r="C59" s="3">
        <v>63204</v>
      </c>
    </row>
    <row r="60" spans="1:3" ht="12.75">
      <c r="A60" t="s">
        <v>910</v>
      </c>
      <c r="B60" s="3" t="s">
        <v>235</v>
      </c>
      <c r="C60" s="3" t="s">
        <v>260</v>
      </c>
    </row>
    <row r="61" spans="1:3" ht="12.75">
      <c r="A61" t="s">
        <v>911</v>
      </c>
      <c r="B61" s="3" t="s">
        <v>235</v>
      </c>
      <c r="C61" s="3" t="s">
        <v>260</v>
      </c>
    </row>
    <row r="62" spans="1:3" ht="15">
      <c r="A62" s="9" t="s">
        <v>261</v>
      </c>
      <c r="B62" s="9" t="s">
        <v>11</v>
      </c>
      <c r="C62" s="9" t="s">
        <v>11</v>
      </c>
    </row>
    <row r="63" spans="1:3" ht="12.75">
      <c r="A63" s="2" t="s">
        <v>886</v>
      </c>
      <c r="B63" s="2" t="s">
        <v>11</v>
      </c>
      <c r="C63" s="2" t="s">
        <v>11</v>
      </c>
    </row>
    <row r="64" spans="1:3" ht="12.75">
      <c r="A64" t="s">
        <v>912</v>
      </c>
      <c r="B64" s="3">
        <v>0</v>
      </c>
      <c r="C64" s="3">
        <v>4710863</v>
      </c>
    </row>
    <row r="65" spans="1:3" ht="12.75">
      <c r="A65" t="s">
        <v>913</v>
      </c>
      <c r="B65" s="3">
        <v>0</v>
      </c>
      <c r="C65" s="3">
        <v>1204182</v>
      </c>
    </row>
    <row r="66" spans="1:3" ht="12.75">
      <c r="A66" t="s">
        <v>914</v>
      </c>
      <c r="B66" s="3">
        <v>0</v>
      </c>
      <c r="C66" s="3">
        <v>1204182</v>
      </c>
    </row>
    <row r="67" spans="1:3" ht="12.75">
      <c r="A67" t="s">
        <v>915</v>
      </c>
      <c r="B67" s="3">
        <v>0</v>
      </c>
      <c r="C67" s="3">
        <v>377559</v>
      </c>
    </row>
    <row r="68" spans="1:3" ht="12.75">
      <c r="A68" t="s">
        <v>916</v>
      </c>
      <c r="B68" s="3">
        <v>0</v>
      </c>
      <c r="C68" s="3">
        <v>121128</v>
      </c>
    </row>
    <row r="69" spans="1:3" ht="12.75">
      <c r="A69" t="s">
        <v>917</v>
      </c>
      <c r="B69" s="3" t="s">
        <v>235</v>
      </c>
      <c r="C69" s="3" t="s">
        <v>266</v>
      </c>
    </row>
    <row r="70" spans="1:3" ht="12.75">
      <c r="A70" t="s">
        <v>918</v>
      </c>
      <c r="B70" s="3" t="s">
        <v>235</v>
      </c>
      <c r="C70" s="3" t="s">
        <v>266</v>
      </c>
    </row>
    <row r="71" spans="1:3" ht="12.75">
      <c r="A71" s="2" t="s">
        <v>203</v>
      </c>
      <c r="B71" s="6">
        <f>SUM(B52:B70)</f>
        <v>0</v>
      </c>
      <c r="C71" s="6">
        <f>SUM(C52:C70)</f>
        <v>15644824</v>
      </c>
    </row>
  </sheetData>
  <sheetProtection/>
  <printOptions/>
  <pageMargins left="0.75" right="0.75" top="1" bottom="1" header="0.5" footer="0.5"/>
  <pageSetup fitToHeight="0" fitToWidth="0"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E30"/>
  <sheetViews>
    <sheetView zoomScalePageLayoutView="0" workbookViewId="0" topLeftCell="A1">
      <selection activeCell="A1" sqref="A1"/>
    </sheetView>
  </sheetViews>
  <sheetFormatPr defaultColWidth="9.140625" defaultRowHeight="12.75"/>
  <sheetData>
    <row r="1" ht="18">
      <c r="A1" s="1" t="s">
        <v>919</v>
      </c>
    </row>
    <row r="6" spans="1:5" ht="12.75">
      <c r="A6" s="2" t="s">
        <v>920</v>
      </c>
      <c r="B6" s="2" t="s">
        <v>921</v>
      </c>
      <c r="C6" s="2" t="s">
        <v>922</v>
      </c>
      <c r="D6" s="2" t="s">
        <v>923</v>
      </c>
      <c r="E6" s="2" t="s">
        <v>924</v>
      </c>
    </row>
    <row r="7" spans="1:5" ht="12.75">
      <c r="A7" t="s">
        <v>925</v>
      </c>
      <c r="B7" t="s">
        <v>926</v>
      </c>
      <c r="C7" t="s">
        <v>235</v>
      </c>
      <c r="D7" t="s">
        <v>927</v>
      </c>
    </row>
    <row r="8" spans="1:2" ht="12.75">
      <c r="A8" t="s">
        <v>928</v>
      </c>
      <c r="B8" t="s">
        <v>929</v>
      </c>
    </row>
    <row r="9" spans="1:2" ht="12.75">
      <c r="A9" t="s">
        <v>930</v>
      </c>
      <c r="B9" t="s">
        <v>931</v>
      </c>
    </row>
    <row r="10" spans="1:5" ht="12.75">
      <c r="A10" s="2" t="s">
        <v>932</v>
      </c>
      <c r="B10" s="2" t="s">
        <v>933</v>
      </c>
      <c r="C10" t="s">
        <v>235</v>
      </c>
      <c r="D10" t="s">
        <v>235</v>
      </c>
    </row>
    <row r="11" spans="1:5" ht="12.75">
      <c r="A11" t="s">
        <v>934</v>
      </c>
      <c r="B11" t="s">
        <v>935</v>
      </c>
      <c r="C11" t="s">
        <v>235</v>
      </c>
      <c r="D11" t="s">
        <v>935</v>
      </c>
    </row>
    <row r="12" spans="1:5" ht="12.75">
      <c r="A12" t="s">
        <v>936</v>
      </c>
      <c r="B12" t="s">
        <v>937</v>
      </c>
      <c r="C12" t="s">
        <v>235</v>
      </c>
      <c r="D12" t="s">
        <v>937</v>
      </c>
    </row>
    <row r="13" spans="1:5" ht="12.75">
      <c r="A13" t="s">
        <v>938</v>
      </c>
      <c r="B13" t="s">
        <v>939</v>
      </c>
      <c r="C13" t="s">
        <v>235</v>
      </c>
      <c r="D13" t="s">
        <v>939</v>
      </c>
    </row>
    <row r="14" spans="1:5" ht="12.75">
      <c r="A14" t="s">
        <v>940</v>
      </c>
      <c r="B14" t="s">
        <v>235</v>
      </c>
      <c r="C14" t="s">
        <v>235</v>
      </c>
      <c r="D14" t="s">
        <v>235</v>
      </c>
    </row>
    <row r="15" spans="1:5" ht="12.75">
      <c r="A15" t="s">
        <v>941</v>
      </c>
      <c r="B15" t="s">
        <v>942</v>
      </c>
      <c r="C15" t="s">
        <v>235</v>
      </c>
      <c r="D15" t="s">
        <v>942</v>
      </c>
    </row>
    <row r="16" spans="1:5" ht="12.75">
      <c r="A16" t="s">
        <v>943</v>
      </c>
      <c r="B16" t="s">
        <v>944</v>
      </c>
      <c r="C16" t="s">
        <v>235</v>
      </c>
      <c r="D16" t="s">
        <v>944</v>
      </c>
    </row>
    <row r="17" spans="1:5" ht="12.75">
      <c r="A17" t="s">
        <v>945</v>
      </c>
      <c r="B17" t="s">
        <v>946</v>
      </c>
      <c r="C17" t="s">
        <v>235</v>
      </c>
      <c r="D17" t="s">
        <v>946</v>
      </c>
    </row>
    <row r="18" spans="1:5" ht="12.75">
      <c r="A18" t="s">
        <v>947</v>
      </c>
      <c r="B18" t="s">
        <v>235</v>
      </c>
      <c r="C18" t="s">
        <v>235</v>
      </c>
      <c r="D18" t="s">
        <v>235</v>
      </c>
    </row>
    <row r="19" spans="1:5" ht="12.75">
      <c r="A19" t="s">
        <v>948</v>
      </c>
      <c r="B19" t="s">
        <v>949</v>
      </c>
      <c r="C19" t="s">
        <v>235</v>
      </c>
      <c r="D19" t="s">
        <v>949</v>
      </c>
    </row>
    <row r="20" spans="1:5" ht="12.75">
      <c r="A20" t="s">
        <v>950</v>
      </c>
      <c r="B20" t="s">
        <v>951</v>
      </c>
      <c r="C20" t="s">
        <v>235</v>
      </c>
      <c r="D20" t="s">
        <v>951</v>
      </c>
    </row>
    <row r="21" spans="1:5" ht="12.75">
      <c r="A21" t="s">
        <v>952</v>
      </c>
      <c r="B21" t="s">
        <v>235</v>
      </c>
      <c r="C21" t="s">
        <v>235</v>
      </c>
      <c r="D21" t="s">
        <v>235</v>
      </c>
    </row>
    <row r="22" spans="1:5" ht="12.75">
      <c r="A22" t="s">
        <v>953</v>
      </c>
      <c r="B22" t="s">
        <v>235</v>
      </c>
      <c r="C22" t="s">
        <v>235</v>
      </c>
      <c r="D22" t="s">
        <v>235</v>
      </c>
    </row>
    <row r="23" spans="1:5" ht="12.75">
      <c r="A23" t="s">
        <v>954</v>
      </c>
      <c r="B23" t="s">
        <v>955</v>
      </c>
      <c r="C23" t="s">
        <v>235</v>
      </c>
      <c r="D23" t="s">
        <v>955</v>
      </c>
    </row>
    <row r="24" spans="1:5" ht="12.75">
      <c r="A24" t="s">
        <v>956</v>
      </c>
      <c r="B24" t="s">
        <v>957</v>
      </c>
      <c r="C24" t="s">
        <v>235</v>
      </c>
      <c r="D24" t="s">
        <v>957</v>
      </c>
      <c r="E24" t="s">
        <v>958</v>
      </c>
    </row>
    <row r="25" spans="1:5" ht="12.75">
      <c r="A25" t="s">
        <v>959</v>
      </c>
      <c r="B25" t="s">
        <v>235</v>
      </c>
      <c r="C25" t="s">
        <v>235</v>
      </c>
      <c r="D25" t="s">
        <v>235</v>
      </c>
      <c r="E25" t="s">
        <v>960</v>
      </c>
    </row>
    <row r="26" spans="1:5" ht="12.75">
      <c r="A26" t="s">
        <v>961</v>
      </c>
      <c r="B26" t="s">
        <v>962</v>
      </c>
      <c r="C26" t="s">
        <v>235</v>
      </c>
      <c r="D26" t="s">
        <v>962</v>
      </c>
    </row>
    <row r="27" spans="1:5" ht="12.75">
      <c r="A27" t="s">
        <v>963</v>
      </c>
      <c r="B27" t="s">
        <v>235</v>
      </c>
      <c r="C27" t="s">
        <v>235</v>
      </c>
      <c r="D27" t="s">
        <v>235</v>
      </c>
    </row>
    <row r="28" spans="1:5" ht="12.75">
      <c r="A28" s="2" t="s">
        <v>527</v>
      </c>
      <c r="B28" s="2" t="s">
        <v>964</v>
      </c>
      <c r="C28" s="2" t="s">
        <v>235</v>
      </c>
      <c r="D28" s="2" t="s">
        <v>965</v>
      </c>
    </row>
    <row r="29" spans="1:5" ht="12.75">
      <c r="A29" t="s">
        <v>966</v>
      </c>
      <c r="B29" t="s">
        <v>967</v>
      </c>
      <c r="C29" t="s">
        <v>235</v>
      </c>
      <c r="D29" t="s">
        <v>967</v>
      </c>
    </row>
    <row r="30" spans="1:5" ht="12.75">
      <c r="A30" s="2" t="s">
        <v>968</v>
      </c>
      <c r="B30" s="2" t="s">
        <v>969</v>
      </c>
      <c r="C30" s="2" t="s">
        <v>235</v>
      </c>
      <c r="D30" s="2" t="s">
        <v>970</v>
      </c>
    </row>
  </sheetData>
  <sheetProtection/>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31"/>
  <sheetViews>
    <sheetView zoomScalePageLayoutView="0" workbookViewId="0" topLeftCell="A1">
      <selection activeCell="A1" sqref="A1"/>
    </sheetView>
  </sheetViews>
  <sheetFormatPr defaultColWidth="9.140625" defaultRowHeight="12.75"/>
  <sheetData>
    <row r="1" ht="18">
      <c r="A1" s="1" t="s">
        <v>117</v>
      </c>
    </row>
    <row r="2" ht="12.75">
      <c r="A2" s="2" t="s">
        <v>87</v>
      </c>
    </row>
    <row r="3" ht="12.75">
      <c r="A3" s="2" t="s">
        <v>88</v>
      </c>
    </row>
    <row r="4" ht="12.75">
      <c r="A4" s="2" t="s">
        <v>89</v>
      </c>
    </row>
    <row r="6" spans="2:17" ht="15.75">
      <c r="B6" s="4" t="s">
        <v>118</v>
      </c>
      <c r="E6" s="4" t="s">
        <v>119</v>
      </c>
      <c r="H6" s="4" t="s">
        <v>120</v>
      </c>
      <c r="K6" s="2" t="s">
        <v>121</v>
      </c>
      <c r="N6" s="2" t="s">
        <v>122</v>
      </c>
      <c r="Q6" s="2" t="s">
        <v>123</v>
      </c>
    </row>
    <row r="7" spans="1:19" ht="12.75">
      <c r="A7" t="s">
        <v>111</v>
      </c>
      <c r="B7" s="3" t="s">
        <v>124</v>
      </c>
      <c r="C7" s="3" t="s">
        <v>125</v>
      </c>
      <c r="D7" s="3" t="s">
        <v>126</v>
      </c>
      <c r="E7" s="3">
        <v>63843</v>
      </c>
      <c r="F7" s="3">
        <v>66537</v>
      </c>
      <c r="G7" s="3">
        <v>65002</v>
      </c>
      <c r="H7" s="3">
        <v>45275</v>
      </c>
      <c r="I7" s="3">
        <v>47282</v>
      </c>
      <c r="J7" s="3">
        <v>46709</v>
      </c>
      <c r="K7" s="3">
        <v>18568</v>
      </c>
      <c r="L7" s="3">
        <v>19254</v>
      </c>
      <c r="M7" s="3">
        <v>18293</v>
      </c>
      <c r="N7" s="3">
        <v>0</v>
      </c>
      <c r="O7" s="3">
        <v>11943</v>
      </c>
      <c r="P7" s="3">
        <v>2331</v>
      </c>
      <c r="Q7" s="3">
        <v>897</v>
      </c>
      <c r="R7" s="3">
        <v>2544</v>
      </c>
      <c r="S7" s="3">
        <v>400</v>
      </c>
    </row>
    <row r="8" spans="1:19" ht="12.75">
      <c r="A8" t="s">
        <v>109</v>
      </c>
      <c r="B8" s="3" t="s">
        <v>127</v>
      </c>
      <c r="C8" s="3" t="s">
        <v>127</v>
      </c>
      <c r="D8" s="3" t="s">
        <v>127</v>
      </c>
      <c r="E8" s="3">
        <v>98542</v>
      </c>
      <c r="F8" s="3">
        <v>103167</v>
      </c>
      <c r="G8" s="3">
        <v>117800</v>
      </c>
      <c r="H8" s="3">
        <v>47077</v>
      </c>
      <c r="I8" s="3">
        <v>48702</v>
      </c>
      <c r="J8" s="3">
        <v>49442</v>
      </c>
      <c r="K8" s="3">
        <v>51465</v>
      </c>
      <c r="L8" s="3">
        <v>54466</v>
      </c>
      <c r="M8" s="3">
        <v>68359</v>
      </c>
      <c r="N8" s="3">
        <v>0</v>
      </c>
      <c r="O8" s="3">
        <v>5589</v>
      </c>
      <c r="P8" s="3">
        <v>7735</v>
      </c>
      <c r="Q8" s="3">
        <v>3135</v>
      </c>
      <c r="R8" s="3">
        <v>2479</v>
      </c>
      <c r="S8" s="3">
        <v>3986</v>
      </c>
    </row>
    <row r="9" spans="1:19" ht="12.75">
      <c r="A9" t="s">
        <v>108</v>
      </c>
      <c r="B9" s="3" t="s">
        <v>128</v>
      </c>
      <c r="C9" s="3" t="s">
        <v>129</v>
      </c>
      <c r="D9" s="3" t="s">
        <v>130</v>
      </c>
      <c r="E9" s="3">
        <v>79841</v>
      </c>
      <c r="F9" s="3">
        <v>69186</v>
      </c>
      <c r="G9" s="3">
        <v>84768</v>
      </c>
      <c r="H9" s="3">
        <v>46283</v>
      </c>
      <c r="I9" s="3">
        <v>46896</v>
      </c>
      <c r="J9" s="3">
        <v>47765</v>
      </c>
      <c r="K9" s="3">
        <v>33558</v>
      </c>
      <c r="L9" s="3">
        <v>22290</v>
      </c>
      <c r="M9" s="3">
        <v>37003</v>
      </c>
      <c r="N9" s="3">
        <v>1645</v>
      </c>
      <c r="O9" s="3">
        <v>2315</v>
      </c>
      <c r="P9" s="3">
        <v>4212</v>
      </c>
      <c r="Q9" s="3">
        <v>0</v>
      </c>
      <c r="R9" s="3">
        <v>1426</v>
      </c>
      <c r="S9" s="3">
        <v>2664</v>
      </c>
    </row>
    <row r="10" spans="1:19" ht="12.75">
      <c r="A10" t="s">
        <v>103</v>
      </c>
      <c r="B10" s="3" t="s">
        <v>131</v>
      </c>
      <c r="C10" s="3" t="s">
        <v>132</v>
      </c>
      <c r="D10" s="3" t="s">
        <v>133</v>
      </c>
      <c r="E10" s="3">
        <v>75223</v>
      </c>
      <c r="F10" s="3">
        <v>186414</v>
      </c>
      <c r="G10" s="3">
        <v>65765</v>
      </c>
      <c r="H10" s="3">
        <v>47048</v>
      </c>
      <c r="I10" s="3">
        <v>46716</v>
      </c>
      <c r="J10" s="3">
        <v>47031</v>
      </c>
      <c r="K10" s="3">
        <v>28175</v>
      </c>
      <c r="L10" s="3">
        <v>139698</v>
      </c>
      <c r="M10" s="3">
        <v>18733</v>
      </c>
      <c r="N10" s="3">
        <v>0</v>
      </c>
      <c r="O10" s="3">
        <v>1951</v>
      </c>
      <c r="P10" s="3">
        <v>0</v>
      </c>
      <c r="Q10" s="3">
        <v>1406</v>
      </c>
      <c r="R10" s="3">
        <v>4002</v>
      </c>
      <c r="S10" s="3">
        <v>207</v>
      </c>
    </row>
    <row r="11" spans="1:19" ht="12.75">
      <c r="A11" t="s">
        <v>134</v>
      </c>
      <c r="B11" s="3" t="s">
        <v>135</v>
      </c>
      <c r="C11" s="3" t="s">
        <v>136</v>
      </c>
      <c r="D11">
        <v>0</v>
      </c>
      <c r="E11" s="3">
        <v>71632</v>
      </c>
      <c r="F11" s="3">
        <v>66110</v>
      </c>
      <c r="G11" s="3">
        <v>0</v>
      </c>
      <c r="H11" s="3">
        <v>47117</v>
      </c>
      <c r="I11" s="3">
        <v>46436</v>
      </c>
      <c r="J11" s="3">
        <v>0</v>
      </c>
      <c r="K11" s="3">
        <v>24515</v>
      </c>
      <c r="L11" s="3">
        <v>19673</v>
      </c>
      <c r="M11" s="3">
        <v>0</v>
      </c>
      <c r="N11" s="3">
        <v>5</v>
      </c>
      <c r="O11" s="3">
        <v>3776</v>
      </c>
      <c r="P11" s="3">
        <v>0</v>
      </c>
      <c r="Q11" s="3">
        <v>138</v>
      </c>
      <c r="R11" s="3">
        <v>299</v>
      </c>
      <c r="S11" s="3">
        <v>0</v>
      </c>
    </row>
    <row r="12" spans="1:19" ht="12.75">
      <c r="A12" t="s">
        <v>98</v>
      </c>
      <c r="B12" s="3" t="s">
        <v>137</v>
      </c>
      <c r="C12" s="3" t="s">
        <v>138</v>
      </c>
      <c r="D12" s="3" t="s">
        <v>139</v>
      </c>
      <c r="E12" s="3">
        <v>85829</v>
      </c>
      <c r="F12" s="3">
        <v>82956</v>
      </c>
      <c r="G12" s="3">
        <v>90089</v>
      </c>
      <c r="H12" s="3">
        <v>50163</v>
      </c>
      <c r="I12" s="3">
        <v>49812</v>
      </c>
      <c r="J12" s="3">
        <v>49746</v>
      </c>
      <c r="K12" s="3">
        <v>35667</v>
      </c>
      <c r="L12" s="3">
        <v>33144</v>
      </c>
      <c r="M12" s="3">
        <v>40342</v>
      </c>
      <c r="N12" s="3">
        <v>0</v>
      </c>
      <c r="O12" s="3">
        <v>3905</v>
      </c>
      <c r="P12" s="3">
        <v>0</v>
      </c>
      <c r="Q12" s="3">
        <v>184</v>
      </c>
      <c r="R12" s="3">
        <v>240</v>
      </c>
      <c r="S12" s="3">
        <v>384</v>
      </c>
    </row>
    <row r="13" spans="1:19" ht="12.75">
      <c r="A13" t="s">
        <v>97</v>
      </c>
      <c r="B13" s="3" t="s">
        <v>140</v>
      </c>
      <c r="C13" s="3" t="s">
        <v>141</v>
      </c>
      <c r="D13" s="3" t="s">
        <v>142</v>
      </c>
      <c r="E13" s="3">
        <v>84067</v>
      </c>
      <c r="F13" s="3">
        <v>83695</v>
      </c>
      <c r="G13" s="3">
        <v>88283</v>
      </c>
      <c r="H13" s="3">
        <v>48976</v>
      </c>
      <c r="I13" s="3">
        <v>48503</v>
      </c>
      <c r="J13" s="3">
        <v>48595</v>
      </c>
      <c r="K13" s="3">
        <v>35091</v>
      </c>
      <c r="L13" s="3">
        <v>35191</v>
      </c>
      <c r="M13" s="3">
        <v>39688</v>
      </c>
      <c r="N13" s="3">
        <v>132</v>
      </c>
      <c r="O13" s="3">
        <v>4649</v>
      </c>
      <c r="P13" s="3">
        <v>181</v>
      </c>
      <c r="Q13" s="3">
        <v>443</v>
      </c>
      <c r="R13" s="3">
        <v>557</v>
      </c>
      <c r="S13" s="3">
        <v>421</v>
      </c>
    </row>
    <row r="14" spans="1:19" ht="12.75">
      <c r="A14" s="2" t="s">
        <v>11</v>
      </c>
      <c r="B14" s="2" t="s">
        <v>94</v>
      </c>
      <c r="C14" s="2" t="s">
        <v>95</v>
      </c>
      <c r="D14" s="2" t="s">
        <v>4</v>
      </c>
      <c r="E14" s="2" t="s">
        <v>94</v>
      </c>
      <c r="F14" s="2" t="s">
        <v>95</v>
      </c>
      <c r="G14" s="2" t="s">
        <v>4</v>
      </c>
      <c r="H14" s="2" t="s">
        <v>94</v>
      </c>
      <c r="I14" s="2" t="s">
        <v>95</v>
      </c>
      <c r="J14" s="2" t="s">
        <v>4</v>
      </c>
      <c r="K14" s="2" t="s">
        <v>94</v>
      </c>
      <c r="L14" s="2" t="s">
        <v>95</v>
      </c>
      <c r="M14" s="2" t="s">
        <v>4</v>
      </c>
      <c r="N14" s="2" t="s">
        <v>94</v>
      </c>
      <c r="O14" s="2" t="s">
        <v>95</v>
      </c>
      <c r="P14" s="2" t="s">
        <v>4</v>
      </c>
      <c r="Q14" s="2" t="s">
        <v>94</v>
      </c>
      <c r="R14" s="2" t="s">
        <v>95</v>
      </c>
      <c r="S14" s="2" t="s">
        <v>4</v>
      </c>
    </row>
    <row r="15" spans="1:19" ht="12.75">
      <c r="A15" t="s">
        <v>96</v>
      </c>
      <c r="B15" s="3" t="s">
        <v>131</v>
      </c>
      <c r="C15" s="3" t="s">
        <v>131</v>
      </c>
      <c r="D15" s="3" t="s">
        <v>131</v>
      </c>
      <c r="E15" s="3">
        <v>130250</v>
      </c>
      <c r="F15" s="3">
        <v>130250</v>
      </c>
      <c r="G15" s="3">
        <v>130175</v>
      </c>
      <c r="H15" s="3">
        <v>130250</v>
      </c>
      <c r="I15" s="3">
        <v>130250</v>
      </c>
      <c r="J15" s="3">
        <v>130175</v>
      </c>
      <c r="K15" s="3">
        <v>0</v>
      </c>
      <c r="L15" s="3">
        <v>0</v>
      </c>
      <c r="M15" s="3">
        <v>0</v>
      </c>
      <c r="N15" s="3">
        <v>0</v>
      </c>
      <c r="O15" s="3">
        <v>0</v>
      </c>
      <c r="P15" s="3">
        <v>0</v>
      </c>
      <c r="Q15" s="3">
        <v>0</v>
      </c>
      <c r="R15" s="3">
        <v>0</v>
      </c>
      <c r="S15" s="3">
        <v>0</v>
      </c>
    </row>
    <row r="16" spans="1:19" ht="12.75">
      <c r="A16" t="s">
        <v>99</v>
      </c>
      <c r="B16">
        <v>0</v>
      </c>
      <c r="C16">
        <v>0</v>
      </c>
      <c r="D16" s="3" t="s">
        <v>143</v>
      </c>
      <c r="E16" s="3">
        <v>0</v>
      </c>
      <c r="F16" s="3">
        <v>0</v>
      </c>
      <c r="G16" s="3">
        <v>80240</v>
      </c>
      <c r="H16" s="3">
        <v>0</v>
      </c>
      <c r="I16" s="3">
        <v>0</v>
      </c>
      <c r="J16" s="3">
        <v>47186</v>
      </c>
      <c r="K16" s="3">
        <v>0</v>
      </c>
      <c r="L16" s="3">
        <v>0</v>
      </c>
      <c r="M16" s="3">
        <v>33055</v>
      </c>
      <c r="N16" s="3">
        <v>0</v>
      </c>
      <c r="O16" s="3">
        <v>0</v>
      </c>
      <c r="P16" s="3">
        <v>0</v>
      </c>
      <c r="Q16" s="3">
        <v>0</v>
      </c>
      <c r="R16" s="3">
        <v>0</v>
      </c>
      <c r="S16" s="3">
        <v>94</v>
      </c>
    </row>
    <row r="17" spans="1:19" ht="12.75">
      <c r="A17" t="s">
        <v>100</v>
      </c>
      <c r="B17">
        <v>0</v>
      </c>
      <c r="C17">
        <v>0</v>
      </c>
      <c r="D17" s="3" t="s">
        <v>144</v>
      </c>
      <c r="E17" s="3">
        <v>0</v>
      </c>
      <c r="F17" s="3">
        <v>0</v>
      </c>
      <c r="G17" s="3">
        <v>72245</v>
      </c>
      <c r="H17" s="3">
        <v>0</v>
      </c>
      <c r="I17" s="3">
        <v>0</v>
      </c>
      <c r="J17" s="3">
        <v>46410</v>
      </c>
      <c r="K17" s="3">
        <v>0</v>
      </c>
      <c r="L17" s="3">
        <v>0</v>
      </c>
      <c r="M17" s="3">
        <v>25835</v>
      </c>
      <c r="N17" s="3">
        <v>0</v>
      </c>
      <c r="O17" s="3">
        <v>0</v>
      </c>
      <c r="P17" s="3">
        <v>0</v>
      </c>
      <c r="Q17" s="3">
        <v>0</v>
      </c>
      <c r="R17" s="3">
        <v>0</v>
      </c>
      <c r="S17" s="3">
        <v>280</v>
      </c>
    </row>
    <row r="18" spans="1:19" ht="12.75">
      <c r="A18" t="s">
        <v>101</v>
      </c>
      <c r="B18">
        <v>0</v>
      </c>
      <c r="C18">
        <v>0</v>
      </c>
      <c r="D18" s="3" t="s">
        <v>145</v>
      </c>
      <c r="E18" s="3">
        <v>0</v>
      </c>
      <c r="F18" s="3">
        <v>0</v>
      </c>
      <c r="G18" s="3">
        <v>76799</v>
      </c>
      <c r="H18" s="3">
        <v>0</v>
      </c>
      <c r="I18" s="3">
        <v>0</v>
      </c>
      <c r="J18" s="3">
        <v>46996</v>
      </c>
      <c r="K18" s="3">
        <v>0</v>
      </c>
      <c r="L18" s="3">
        <v>0</v>
      </c>
      <c r="M18" s="3">
        <v>29803</v>
      </c>
      <c r="N18" s="3">
        <v>0</v>
      </c>
      <c r="O18" s="3">
        <v>0</v>
      </c>
      <c r="P18" s="3">
        <v>0</v>
      </c>
      <c r="Q18" s="3">
        <v>0</v>
      </c>
      <c r="R18" s="3">
        <v>0</v>
      </c>
      <c r="S18" s="3">
        <v>0</v>
      </c>
    </row>
    <row r="19" spans="1:19" ht="12.75">
      <c r="A19" t="s">
        <v>102</v>
      </c>
      <c r="B19">
        <v>0</v>
      </c>
      <c r="C19">
        <v>0</v>
      </c>
      <c r="D19" s="3" t="s">
        <v>146</v>
      </c>
      <c r="E19" s="3">
        <v>0</v>
      </c>
      <c r="F19" s="3">
        <v>0</v>
      </c>
      <c r="G19" s="3">
        <v>71974</v>
      </c>
      <c r="H19" s="3">
        <v>0</v>
      </c>
      <c r="I19" s="3">
        <v>0</v>
      </c>
      <c r="J19" s="3">
        <v>46511</v>
      </c>
      <c r="K19" s="3">
        <v>0</v>
      </c>
      <c r="L19" s="3">
        <v>0</v>
      </c>
      <c r="M19" s="3">
        <v>25464</v>
      </c>
      <c r="N19" s="3">
        <v>0</v>
      </c>
      <c r="O19" s="3">
        <v>0</v>
      </c>
      <c r="P19" s="3">
        <v>0</v>
      </c>
      <c r="Q19" s="3">
        <v>0</v>
      </c>
      <c r="R19" s="3">
        <v>0</v>
      </c>
      <c r="S19" s="3">
        <v>21</v>
      </c>
    </row>
    <row r="20" spans="1:19" ht="12.75">
      <c r="A20" t="s">
        <v>104</v>
      </c>
      <c r="B20" s="3" t="s">
        <v>147</v>
      </c>
      <c r="C20" s="3" t="s">
        <v>148</v>
      </c>
      <c r="D20" s="3" t="s">
        <v>149</v>
      </c>
      <c r="E20" s="3">
        <v>31935</v>
      </c>
      <c r="F20" s="3">
        <v>33874</v>
      </c>
      <c r="G20" s="3">
        <v>32159</v>
      </c>
      <c r="H20" s="3">
        <v>27868</v>
      </c>
      <c r="I20" s="3">
        <v>27771</v>
      </c>
      <c r="J20" s="3">
        <v>27533</v>
      </c>
      <c r="K20" s="3">
        <v>4067</v>
      </c>
      <c r="L20" s="3">
        <v>6103</v>
      </c>
      <c r="M20" s="3">
        <v>4626</v>
      </c>
      <c r="N20" s="3">
        <v>6</v>
      </c>
      <c r="O20" s="3">
        <v>290</v>
      </c>
      <c r="P20" s="3">
        <v>233</v>
      </c>
      <c r="Q20" s="3">
        <v>228</v>
      </c>
      <c r="R20" s="3">
        <v>212</v>
      </c>
      <c r="S20" s="3">
        <v>246</v>
      </c>
    </row>
    <row r="21" spans="1:19" ht="12.75">
      <c r="A21" t="s">
        <v>105</v>
      </c>
      <c r="B21" s="3" t="s">
        <v>150</v>
      </c>
      <c r="C21" s="3" t="s">
        <v>151</v>
      </c>
      <c r="D21" s="3" t="s">
        <v>152</v>
      </c>
      <c r="E21" s="3">
        <v>33354</v>
      </c>
      <c r="F21" s="3">
        <v>34600</v>
      </c>
      <c r="G21" s="3">
        <v>33341</v>
      </c>
      <c r="H21" s="3">
        <v>28125</v>
      </c>
      <c r="I21" s="3">
        <v>27949</v>
      </c>
      <c r="J21" s="3">
        <v>27801</v>
      </c>
      <c r="K21" s="3">
        <v>5229</v>
      </c>
      <c r="L21" s="3">
        <v>6651</v>
      </c>
      <c r="M21" s="3">
        <v>5540</v>
      </c>
      <c r="N21" s="3">
        <v>37</v>
      </c>
      <c r="O21" s="3">
        <v>318</v>
      </c>
      <c r="P21" s="3">
        <v>238</v>
      </c>
      <c r="Q21" s="3">
        <v>270</v>
      </c>
      <c r="R21" s="3">
        <v>297</v>
      </c>
      <c r="S21" s="3">
        <v>223</v>
      </c>
    </row>
    <row r="22" spans="1:19" ht="12.75">
      <c r="A22" t="s">
        <v>106</v>
      </c>
      <c r="B22" s="3" t="s">
        <v>153</v>
      </c>
      <c r="C22" s="3" t="s">
        <v>154</v>
      </c>
      <c r="D22" s="3" t="s">
        <v>155</v>
      </c>
      <c r="E22" s="3">
        <v>34617</v>
      </c>
      <c r="F22" s="3">
        <v>32037</v>
      </c>
      <c r="G22" s="3">
        <v>36765</v>
      </c>
      <c r="H22" s="3">
        <v>28355</v>
      </c>
      <c r="I22" s="3">
        <v>29663</v>
      </c>
      <c r="J22" s="3">
        <v>28543</v>
      </c>
      <c r="K22" s="3">
        <v>6262</v>
      </c>
      <c r="L22" s="3">
        <v>2374</v>
      </c>
      <c r="M22" s="3">
        <v>8222</v>
      </c>
      <c r="N22" s="3">
        <v>0</v>
      </c>
      <c r="O22" s="3">
        <v>387</v>
      </c>
      <c r="P22" s="3">
        <v>261</v>
      </c>
      <c r="Q22" s="3">
        <v>954</v>
      </c>
      <c r="R22" s="3">
        <v>135</v>
      </c>
      <c r="S22" s="3">
        <v>696</v>
      </c>
    </row>
    <row r="23" spans="1:19" ht="12.75">
      <c r="A23" t="s">
        <v>107</v>
      </c>
      <c r="B23" s="3" t="s">
        <v>156</v>
      </c>
      <c r="C23" s="3" t="s">
        <v>157</v>
      </c>
      <c r="D23" s="3" t="s">
        <v>158</v>
      </c>
      <c r="E23" s="3">
        <v>29439</v>
      </c>
      <c r="F23" s="3">
        <v>31199</v>
      </c>
      <c r="G23" s="3">
        <v>29764</v>
      </c>
      <c r="H23" s="3">
        <v>27725</v>
      </c>
      <c r="I23" s="3">
        <v>27685</v>
      </c>
      <c r="J23" s="3">
        <v>27557</v>
      </c>
      <c r="K23" s="3">
        <v>1715</v>
      </c>
      <c r="L23" s="3">
        <v>3514</v>
      </c>
      <c r="M23" s="3">
        <v>2206</v>
      </c>
      <c r="N23" s="3">
        <v>10</v>
      </c>
      <c r="O23" s="3">
        <v>222</v>
      </c>
      <c r="P23" s="3">
        <v>339</v>
      </c>
      <c r="Q23" s="3">
        <v>21</v>
      </c>
      <c r="R23" s="3">
        <v>14</v>
      </c>
      <c r="S23" s="3">
        <v>12</v>
      </c>
    </row>
    <row r="24" spans="1:19" ht="12.75">
      <c r="A24" t="s">
        <v>110</v>
      </c>
      <c r="B24" s="3" t="s">
        <v>159</v>
      </c>
      <c r="C24" s="3" t="s">
        <v>160</v>
      </c>
      <c r="D24" s="3" t="s">
        <v>161</v>
      </c>
      <c r="E24" s="3">
        <v>25125</v>
      </c>
      <c r="F24" s="3">
        <v>26696</v>
      </c>
      <c r="G24" s="3">
        <v>25451</v>
      </c>
      <c r="H24" s="3">
        <v>22052</v>
      </c>
      <c r="I24" s="3">
        <v>21913</v>
      </c>
      <c r="J24" s="3">
        <v>21952</v>
      </c>
      <c r="K24" s="3">
        <v>3073</v>
      </c>
      <c r="L24" s="3">
        <v>4784</v>
      </c>
      <c r="M24" s="3">
        <v>3498</v>
      </c>
      <c r="N24" s="3">
        <v>277</v>
      </c>
      <c r="O24" s="3">
        <v>127</v>
      </c>
      <c r="P24" s="3">
        <v>67</v>
      </c>
      <c r="Q24" s="3">
        <v>196</v>
      </c>
      <c r="R24" s="3">
        <v>239</v>
      </c>
      <c r="S24" s="3">
        <v>244</v>
      </c>
    </row>
    <row r="25" spans="1:19" ht="12.75">
      <c r="A25" t="s">
        <v>112</v>
      </c>
      <c r="B25" s="3" t="s">
        <v>162</v>
      </c>
      <c r="C25" s="3" t="s">
        <v>163</v>
      </c>
      <c r="D25" s="3" t="s">
        <v>164</v>
      </c>
      <c r="E25" s="3">
        <v>27976</v>
      </c>
      <c r="F25" s="3">
        <v>29606</v>
      </c>
      <c r="G25" s="3">
        <v>28651</v>
      </c>
      <c r="H25" s="3">
        <v>25533</v>
      </c>
      <c r="I25" s="3">
        <v>25411</v>
      </c>
      <c r="J25" s="3">
        <v>25440</v>
      </c>
      <c r="K25" s="3">
        <v>2442</v>
      </c>
      <c r="L25" s="3">
        <v>4195</v>
      </c>
      <c r="M25" s="3">
        <v>3211</v>
      </c>
      <c r="N25" s="3">
        <v>36</v>
      </c>
      <c r="O25" s="3">
        <v>316</v>
      </c>
      <c r="P25" s="3">
        <v>260</v>
      </c>
      <c r="Q25" s="3">
        <v>129</v>
      </c>
      <c r="R25" s="3">
        <v>78</v>
      </c>
      <c r="S25" s="3">
        <v>97</v>
      </c>
    </row>
    <row r="26" spans="1:19" ht="12.75">
      <c r="A26" t="s">
        <v>113</v>
      </c>
      <c r="B26" s="3" t="s">
        <v>165</v>
      </c>
      <c r="C26">
        <v>0</v>
      </c>
      <c r="D26">
        <v>0</v>
      </c>
      <c r="E26" s="3">
        <v>19052</v>
      </c>
      <c r="F26" s="3">
        <v>0</v>
      </c>
      <c r="G26" s="3">
        <v>0</v>
      </c>
      <c r="H26" s="3">
        <v>18949</v>
      </c>
      <c r="I26" s="3">
        <v>0</v>
      </c>
      <c r="J26" s="3">
        <v>0</v>
      </c>
      <c r="K26" s="3">
        <v>103</v>
      </c>
      <c r="L26" s="3">
        <v>0</v>
      </c>
      <c r="M26" s="3">
        <v>0</v>
      </c>
      <c r="N26" s="3">
        <v>0</v>
      </c>
      <c r="O26" s="3">
        <v>0</v>
      </c>
      <c r="P26" s="3">
        <v>0</v>
      </c>
      <c r="Q26" s="3">
        <v>0</v>
      </c>
      <c r="R26" s="3">
        <v>0</v>
      </c>
      <c r="S26" s="3">
        <v>0</v>
      </c>
    </row>
    <row r="27" spans="2:19" ht="12.75">
      <c r="B27" s="3" t="s">
        <v>166</v>
      </c>
      <c r="C27" s="3" t="s">
        <v>167</v>
      </c>
      <c r="D27" s="3" t="s">
        <v>168</v>
      </c>
      <c r="E27" s="3">
        <v>59073</v>
      </c>
      <c r="F27" s="3">
        <v>62059</v>
      </c>
      <c r="G27" s="3">
        <v>59954</v>
      </c>
      <c r="H27" s="3">
        <v>41773</v>
      </c>
      <c r="I27" s="3">
        <v>42487</v>
      </c>
      <c r="J27" s="3">
        <v>40740</v>
      </c>
      <c r="K27" s="3">
        <v>17300</v>
      </c>
      <c r="L27" s="3">
        <v>19572</v>
      </c>
      <c r="M27" s="3">
        <v>19214</v>
      </c>
      <c r="N27" s="3">
        <v>98</v>
      </c>
      <c r="O27" s="3">
        <v>2230</v>
      </c>
      <c r="P27" s="3">
        <v>272</v>
      </c>
      <c r="Q27" s="3">
        <v>343</v>
      </c>
      <c r="R27" s="3">
        <v>404</v>
      </c>
      <c r="S27" s="3">
        <v>353</v>
      </c>
    </row>
    <row r="29" ht="12.75">
      <c r="A29" s="2" t="s">
        <v>169</v>
      </c>
    </row>
    <row r="30" ht="12.75">
      <c r="A30" s="2" t="s">
        <v>170</v>
      </c>
    </row>
    <row r="31" ht="12.75">
      <c r="A31" s="2" t="s">
        <v>171</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9.140625" defaultRowHeight="12.75"/>
  <sheetData>
    <row r="1" ht="18">
      <c r="A1" s="1" t="s">
        <v>172</v>
      </c>
    </row>
    <row r="2" ht="12.75">
      <c r="A2" s="2" t="s">
        <v>87</v>
      </c>
    </row>
    <row r="3" ht="12.75">
      <c r="A3" s="2" t="s">
        <v>88</v>
      </c>
    </row>
    <row r="4" ht="12.75">
      <c r="A4" s="2" t="s">
        <v>89</v>
      </c>
    </row>
    <row r="5" spans="1:5" ht="15.75">
      <c r="A5" s="4" t="s">
        <v>173</v>
      </c>
      <c r="E5" s="4" t="s">
        <v>174</v>
      </c>
    </row>
    <row r="6" spans="1:11" ht="12.75">
      <c r="A6" s="2" t="s">
        <v>175</v>
      </c>
      <c r="E6" s="2" t="s">
        <v>176</v>
      </c>
      <c r="H6" s="2" t="s">
        <v>177</v>
      </c>
      <c r="K6" s="2" t="s">
        <v>178</v>
      </c>
    </row>
    <row r="7" spans="1:13" ht="12.75">
      <c r="A7" t="s">
        <v>111</v>
      </c>
      <c r="B7">
        <v>3</v>
      </c>
      <c r="C7">
        <v>3</v>
      </c>
      <c r="D7">
        <v>10</v>
      </c>
      <c r="E7">
        <v>12.67</v>
      </c>
      <c r="F7">
        <v>91.33</v>
      </c>
      <c r="G7">
        <v>24.4</v>
      </c>
      <c r="H7">
        <v>14.33</v>
      </c>
      <c r="I7">
        <v>5</v>
      </c>
      <c r="J7">
        <v>1.7</v>
      </c>
      <c r="K7">
        <v>0.33</v>
      </c>
      <c r="L7">
        <v>11</v>
      </c>
      <c r="M7">
        <v>3.3</v>
      </c>
    </row>
    <row r="8" spans="1:13" ht="12.75">
      <c r="A8" t="s">
        <v>109</v>
      </c>
      <c r="B8">
        <v>2</v>
      </c>
      <c r="C8">
        <v>2</v>
      </c>
      <c r="D8">
        <v>2</v>
      </c>
      <c r="E8">
        <v>4</v>
      </c>
      <c r="F8">
        <v>79</v>
      </c>
      <c r="G8">
        <v>25.5</v>
      </c>
      <c r="H8">
        <v>17</v>
      </c>
      <c r="I8">
        <v>32</v>
      </c>
      <c r="J8">
        <v>2</v>
      </c>
      <c r="K8">
        <v>6</v>
      </c>
      <c r="L8">
        <v>63</v>
      </c>
      <c r="M8">
        <v>9.5</v>
      </c>
    </row>
    <row r="9" spans="1:13" ht="12.75">
      <c r="A9" t="s">
        <v>108</v>
      </c>
      <c r="B9">
        <v>5</v>
      </c>
      <c r="C9">
        <v>5</v>
      </c>
      <c r="D9">
        <v>6</v>
      </c>
      <c r="E9">
        <v>8.4</v>
      </c>
      <c r="F9">
        <v>97.6</v>
      </c>
      <c r="G9">
        <v>16.33</v>
      </c>
      <c r="H9">
        <v>11.6</v>
      </c>
      <c r="I9">
        <v>82.8</v>
      </c>
      <c r="J9">
        <v>0.83</v>
      </c>
      <c r="K9">
        <v>4.2</v>
      </c>
      <c r="L9">
        <v>7.6</v>
      </c>
      <c r="M9">
        <v>5</v>
      </c>
    </row>
    <row r="10" spans="1:13" ht="12.75">
      <c r="A10" t="s">
        <v>103</v>
      </c>
      <c r="B10">
        <v>3</v>
      </c>
      <c r="C10">
        <v>6</v>
      </c>
      <c r="D10">
        <v>8</v>
      </c>
      <c r="E10">
        <v>4</v>
      </c>
      <c r="F10">
        <v>35.33</v>
      </c>
      <c r="G10">
        <v>21.63</v>
      </c>
      <c r="H10">
        <v>81</v>
      </c>
      <c r="I10">
        <v>47.33</v>
      </c>
      <c r="J10">
        <v>32.38</v>
      </c>
      <c r="K10">
        <v>11.67</v>
      </c>
      <c r="L10">
        <v>22.67</v>
      </c>
      <c r="M10">
        <v>21</v>
      </c>
    </row>
    <row r="11" spans="1:13" ht="12.75">
      <c r="A11" t="s">
        <v>134</v>
      </c>
      <c r="B11">
        <v>75</v>
      </c>
      <c r="C11">
        <v>78</v>
      </c>
      <c r="D11">
        <v>0</v>
      </c>
      <c r="E11">
        <v>12.13</v>
      </c>
      <c r="F11">
        <v>80.45</v>
      </c>
      <c r="G11">
        <v>0</v>
      </c>
      <c r="H11">
        <v>5.19</v>
      </c>
      <c r="I11">
        <v>42.53</v>
      </c>
      <c r="J11">
        <v>0</v>
      </c>
      <c r="K11">
        <v>5.03</v>
      </c>
      <c r="L11">
        <v>56.18</v>
      </c>
      <c r="M11">
        <v>0</v>
      </c>
    </row>
    <row r="12" spans="1:13" ht="12.75">
      <c r="A12" t="s">
        <v>98</v>
      </c>
      <c r="B12">
        <v>39</v>
      </c>
      <c r="C12">
        <v>38</v>
      </c>
      <c r="D12">
        <v>33</v>
      </c>
      <c r="E12">
        <v>4.92</v>
      </c>
      <c r="F12">
        <v>42.66</v>
      </c>
      <c r="G12">
        <v>27.45</v>
      </c>
      <c r="H12">
        <v>14.44</v>
      </c>
      <c r="I12">
        <v>23.03</v>
      </c>
      <c r="J12">
        <v>9.7</v>
      </c>
      <c r="K12">
        <v>14.33</v>
      </c>
      <c r="L12">
        <v>7.84</v>
      </c>
      <c r="M12">
        <v>9.85</v>
      </c>
    </row>
    <row r="13" spans="1:13" ht="12.75">
      <c r="A13" t="s">
        <v>97</v>
      </c>
      <c r="B13">
        <v>442</v>
      </c>
      <c r="C13">
        <v>471</v>
      </c>
      <c r="D13">
        <v>469</v>
      </c>
      <c r="E13">
        <v>8.73</v>
      </c>
      <c r="F13">
        <v>24.49</v>
      </c>
      <c r="G13">
        <v>24.71</v>
      </c>
      <c r="H13">
        <v>7.68</v>
      </c>
      <c r="I13">
        <v>12.23</v>
      </c>
      <c r="J13">
        <v>5.53</v>
      </c>
      <c r="K13">
        <v>15.4</v>
      </c>
      <c r="L13">
        <v>14.68</v>
      </c>
      <c r="M13">
        <v>17.91</v>
      </c>
    </row>
    <row r="14" spans="1:13" ht="12.75">
      <c r="A14" s="2" t="s">
        <v>11</v>
      </c>
      <c r="B14" s="2" t="s">
        <v>94</v>
      </c>
      <c r="C14" s="2" t="s">
        <v>95</v>
      </c>
      <c r="D14" s="2" t="s">
        <v>4</v>
      </c>
      <c r="E14" s="2" t="s">
        <v>94</v>
      </c>
      <c r="F14" s="2" t="s">
        <v>95</v>
      </c>
      <c r="G14" s="2" t="s">
        <v>4</v>
      </c>
      <c r="H14" s="2" t="s">
        <v>94</v>
      </c>
      <c r="I14" s="2" t="s">
        <v>95</v>
      </c>
      <c r="J14" s="2" t="s">
        <v>4</v>
      </c>
      <c r="K14" s="2" t="s">
        <v>94</v>
      </c>
      <c r="L14" s="2" t="s">
        <v>95</v>
      </c>
      <c r="M14" s="2" t="s">
        <v>4</v>
      </c>
    </row>
    <row r="15" spans="1:13" ht="12.75">
      <c r="A15" t="s">
        <v>96</v>
      </c>
      <c r="B15">
        <v>3</v>
      </c>
      <c r="C15">
        <v>3</v>
      </c>
      <c r="D15">
        <v>3</v>
      </c>
      <c r="E15">
        <v>0</v>
      </c>
      <c r="F15">
        <v>10</v>
      </c>
      <c r="G15">
        <v>10</v>
      </c>
      <c r="H15">
        <v>0</v>
      </c>
      <c r="I15">
        <v>0</v>
      </c>
      <c r="J15">
        <v>0</v>
      </c>
      <c r="K15">
        <v>0</v>
      </c>
      <c r="L15">
        <v>0</v>
      </c>
      <c r="M15">
        <v>0</v>
      </c>
    </row>
    <row r="16" spans="1:13" ht="12.75">
      <c r="A16" t="s">
        <v>99</v>
      </c>
      <c r="B16">
        <v>0</v>
      </c>
      <c r="C16">
        <v>0</v>
      </c>
      <c r="D16">
        <v>11</v>
      </c>
      <c r="E16">
        <v>0</v>
      </c>
      <c r="F16">
        <v>0</v>
      </c>
      <c r="G16">
        <v>32.73</v>
      </c>
      <c r="H16">
        <v>0</v>
      </c>
      <c r="I16">
        <v>0</v>
      </c>
      <c r="J16">
        <v>1.55</v>
      </c>
      <c r="K16">
        <v>0</v>
      </c>
      <c r="L16">
        <v>0</v>
      </c>
      <c r="M16">
        <v>2.64</v>
      </c>
    </row>
    <row r="17" spans="1:13" ht="12.75">
      <c r="A17" t="s">
        <v>100</v>
      </c>
      <c r="B17">
        <v>0</v>
      </c>
      <c r="C17">
        <v>0</v>
      </c>
      <c r="D17">
        <v>16</v>
      </c>
      <c r="E17">
        <v>0</v>
      </c>
      <c r="F17">
        <v>0</v>
      </c>
      <c r="G17">
        <v>20.81</v>
      </c>
      <c r="H17">
        <v>0</v>
      </c>
      <c r="I17">
        <v>0</v>
      </c>
      <c r="J17">
        <v>4.19</v>
      </c>
      <c r="K17">
        <v>0</v>
      </c>
      <c r="L17">
        <v>0</v>
      </c>
      <c r="M17">
        <v>31.88</v>
      </c>
    </row>
    <row r="18" spans="1:13" ht="12.75">
      <c r="A18" t="s">
        <v>101</v>
      </c>
      <c r="B18">
        <v>0</v>
      </c>
      <c r="C18">
        <v>0</v>
      </c>
      <c r="D18">
        <v>5</v>
      </c>
      <c r="E18">
        <v>0</v>
      </c>
      <c r="F18">
        <v>0</v>
      </c>
      <c r="G18">
        <v>23.6</v>
      </c>
      <c r="H18">
        <v>0</v>
      </c>
      <c r="I18">
        <v>0</v>
      </c>
      <c r="J18">
        <v>0</v>
      </c>
      <c r="K18">
        <v>0</v>
      </c>
      <c r="L18">
        <v>0</v>
      </c>
      <c r="M18">
        <v>6.4</v>
      </c>
    </row>
    <row r="19" spans="1:13" ht="12.75">
      <c r="A19" t="s">
        <v>102</v>
      </c>
      <c r="B19">
        <v>0</v>
      </c>
      <c r="C19">
        <v>0</v>
      </c>
      <c r="D19">
        <v>42</v>
      </c>
      <c r="E19">
        <v>0</v>
      </c>
      <c r="F19">
        <v>0</v>
      </c>
      <c r="G19">
        <v>26.74</v>
      </c>
      <c r="H19">
        <v>0</v>
      </c>
      <c r="I19">
        <v>0</v>
      </c>
      <c r="J19">
        <v>21.02</v>
      </c>
      <c r="K19">
        <v>0</v>
      </c>
      <c r="L19">
        <v>0</v>
      </c>
      <c r="M19">
        <v>9.07</v>
      </c>
    </row>
    <row r="20" spans="1:13" ht="12.75">
      <c r="A20" t="s">
        <v>104</v>
      </c>
      <c r="B20">
        <v>1118</v>
      </c>
      <c r="C20">
        <v>1251</v>
      </c>
      <c r="D20">
        <v>1260</v>
      </c>
      <c r="E20">
        <v>5.3</v>
      </c>
      <c r="F20">
        <v>20.18</v>
      </c>
      <c r="G20">
        <v>27.29</v>
      </c>
      <c r="H20">
        <v>8.37</v>
      </c>
      <c r="I20">
        <v>14.07</v>
      </c>
      <c r="J20">
        <v>11.89</v>
      </c>
      <c r="K20">
        <v>9.81</v>
      </c>
      <c r="L20">
        <v>23.6</v>
      </c>
      <c r="M20">
        <v>26.69</v>
      </c>
    </row>
    <row r="21" spans="1:13" ht="12.75">
      <c r="A21" t="s">
        <v>105</v>
      </c>
      <c r="B21">
        <v>154</v>
      </c>
      <c r="C21">
        <v>150</v>
      </c>
      <c r="D21">
        <v>152</v>
      </c>
      <c r="E21">
        <v>4.6</v>
      </c>
      <c r="F21">
        <v>28.08</v>
      </c>
      <c r="G21">
        <v>27.04</v>
      </c>
      <c r="H21">
        <v>3.48</v>
      </c>
      <c r="I21">
        <v>13.31</v>
      </c>
      <c r="J21">
        <v>10.01</v>
      </c>
      <c r="K21">
        <v>7</v>
      </c>
      <c r="L21">
        <v>22.45</v>
      </c>
      <c r="M21">
        <v>21.08</v>
      </c>
    </row>
    <row r="22" spans="1:13" ht="12.75">
      <c r="A22" t="s">
        <v>106</v>
      </c>
      <c r="B22">
        <v>36</v>
      </c>
      <c r="C22">
        <v>38</v>
      </c>
      <c r="D22">
        <v>40</v>
      </c>
      <c r="E22">
        <v>13.22</v>
      </c>
      <c r="F22">
        <v>34.18</v>
      </c>
      <c r="G22">
        <v>31.5</v>
      </c>
      <c r="H22">
        <v>5.14</v>
      </c>
      <c r="I22">
        <v>20.87</v>
      </c>
      <c r="J22">
        <v>6.13</v>
      </c>
      <c r="K22">
        <v>13.53</v>
      </c>
      <c r="L22">
        <v>5.55</v>
      </c>
      <c r="M22">
        <v>23.35</v>
      </c>
    </row>
    <row r="23" spans="1:13" ht="12.75">
      <c r="A23" t="s">
        <v>107</v>
      </c>
      <c r="B23">
        <v>88</v>
      </c>
      <c r="C23">
        <v>84</v>
      </c>
      <c r="D23">
        <v>87</v>
      </c>
      <c r="E23">
        <v>14.34</v>
      </c>
      <c r="F23">
        <v>27.18</v>
      </c>
      <c r="G23">
        <v>26.63</v>
      </c>
      <c r="H23">
        <v>12</v>
      </c>
      <c r="I23">
        <v>15.65</v>
      </c>
      <c r="J23">
        <v>13.17</v>
      </c>
      <c r="K23">
        <v>28.05</v>
      </c>
      <c r="L23">
        <v>36.23</v>
      </c>
      <c r="M23">
        <v>28.83</v>
      </c>
    </row>
    <row r="24" spans="1:13" ht="12.75">
      <c r="A24" t="s">
        <v>110</v>
      </c>
      <c r="B24">
        <v>354</v>
      </c>
      <c r="C24">
        <v>341</v>
      </c>
      <c r="D24">
        <v>337</v>
      </c>
      <c r="E24">
        <v>5.97</v>
      </c>
      <c r="F24">
        <v>36.04</v>
      </c>
      <c r="G24">
        <v>21.82</v>
      </c>
      <c r="H24">
        <v>7.58</v>
      </c>
      <c r="I24">
        <v>40.73</v>
      </c>
      <c r="J24">
        <v>17.97</v>
      </c>
      <c r="K24">
        <v>11.56</v>
      </c>
      <c r="L24">
        <v>24.77</v>
      </c>
      <c r="M24">
        <v>12.37</v>
      </c>
    </row>
    <row r="25" spans="1:13" ht="12.75">
      <c r="A25" t="s">
        <v>112</v>
      </c>
      <c r="B25">
        <v>264</v>
      </c>
      <c r="C25">
        <v>248</v>
      </c>
      <c r="D25">
        <v>227</v>
      </c>
      <c r="E25">
        <v>14.48</v>
      </c>
      <c r="F25">
        <v>14.78</v>
      </c>
      <c r="G25">
        <v>31.58</v>
      </c>
      <c r="H25">
        <v>18.6</v>
      </c>
      <c r="I25">
        <v>8.93</v>
      </c>
      <c r="J25">
        <v>22.37</v>
      </c>
      <c r="K25">
        <v>23.63</v>
      </c>
      <c r="L25">
        <v>21.86</v>
      </c>
      <c r="M25">
        <v>25.59</v>
      </c>
    </row>
    <row r="26" spans="1:13" ht="12.75">
      <c r="A26" s="2" t="s">
        <v>179</v>
      </c>
      <c r="B26" s="2">
        <v>2586</v>
      </c>
      <c r="C26" s="2">
        <v>2718</v>
      </c>
      <c r="D26" s="2">
        <v>2708</v>
      </c>
      <c r="E26" s="2">
        <v>7.49</v>
      </c>
      <c r="F26" s="2">
        <v>25.6</v>
      </c>
      <c r="G26" s="2">
        <v>26.45</v>
      </c>
      <c r="H26" s="2">
        <v>9.07</v>
      </c>
      <c r="I26" s="2">
        <v>17.86</v>
      </c>
      <c r="J26" s="2">
        <v>12.26</v>
      </c>
      <c r="K26" s="2">
        <v>12.82</v>
      </c>
      <c r="L26" s="2">
        <v>22.79</v>
      </c>
      <c r="M26" s="2">
        <v>22.23</v>
      </c>
    </row>
    <row r="27" ht="12.75">
      <c r="A27" s="2" t="s">
        <v>180</v>
      </c>
    </row>
    <row r="28" ht="12.75">
      <c r="A28" s="2" t="s">
        <v>181</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38"/>
  <sheetViews>
    <sheetView zoomScalePageLayoutView="0" workbookViewId="0" topLeftCell="A1">
      <selection activeCell="A1" sqref="A1"/>
    </sheetView>
  </sheetViews>
  <sheetFormatPr defaultColWidth="9.140625" defaultRowHeight="12.75"/>
  <sheetData>
    <row r="1" ht="18">
      <c r="A1" s="1" t="s">
        <v>182</v>
      </c>
    </row>
    <row r="2" ht="12.75">
      <c r="A2" s="2" t="s">
        <v>87</v>
      </c>
    </row>
    <row r="3" ht="12.75">
      <c r="A3" s="2" t="s">
        <v>88</v>
      </c>
    </row>
    <row r="4" ht="12.75">
      <c r="A4" s="2" t="s">
        <v>89</v>
      </c>
    </row>
    <row r="6" ht="15.75">
      <c r="A6" s="4" t="s">
        <v>183</v>
      </c>
    </row>
    <row r="7" spans="1:4" ht="12.75">
      <c r="A7" s="2" t="s">
        <v>184</v>
      </c>
      <c r="B7" s="2" t="s">
        <v>94</v>
      </c>
      <c r="C7" s="2" t="s">
        <v>95</v>
      </c>
      <c r="D7" s="2" t="s">
        <v>4</v>
      </c>
    </row>
    <row r="8" spans="1:4" ht="12.75">
      <c r="A8" s="2" t="s">
        <v>185</v>
      </c>
      <c r="B8" s="3">
        <v>0</v>
      </c>
      <c r="C8" s="3">
        <v>0</v>
      </c>
      <c r="D8" s="3">
        <v>0</v>
      </c>
    </row>
    <row r="9" spans="1:4" ht="12.75">
      <c r="A9" s="2" t="s">
        <v>186</v>
      </c>
      <c r="B9" s="3">
        <v>49</v>
      </c>
      <c r="C9" s="3">
        <v>81</v>
      </c>
      <c r="D9" s="3">
        <v>27</v>
      </c>
    </row>
    <row r="10" spans="1:4" ht="12.75">
      <c r="A10" s="2" t="s">
        <v>187</v>
      </c>
      <c r="B10" s="3">
        <v>6</v>
      </c>
      <c r="C10" s="3">
        <v>30</v>
      </c>
      <c r="D10" s="3">
        <v>0</v>
      </c>
    </row>
    <row r="11" spans="1:4" ht="12.75">
      <c r="A11" s="2" t="s">
        <v>188</v>
      </c>
      <c r="B11" s="3">
        <v>0</v>
      </c>
      <c r="C11" s="3">
        <v>0</v>
      </c>
      <c r="D11" s="3">
        <v>23</v>
      </c>
    </row>
    <row r="12" spans="1:4" ht="12.75">
      <c r="A12" s="2" t="s">
        <v>189</v>
      </c>
      <c r="B12" s="3">
        <v>0</v>
      </c>
      <c r="C12" s="3">
        <v>0</v>
      </c>
      <c r="D12" s="3">
        <v>8</v>
      </c>
    </row>
    <row r="13" spans="1:4" ht="12.75">
      <c r="A13" s="2" t="s">
        <v>190</v>
      </c>
      <c r="B13" s="3">
        <v>0</v>
      </c>
      <c r="C13" s="3">
        <v>0</v>
      </c>
      <c r="D13" s="3">
        <v>92</v>
      </c>
    </row>
    <row r="14" spans="1:4" ht="12.75">
      <c r="A14" s="2" t="s">
        <v>191</v>
      </c>
      <c r="B14" s="3">
        <v>0</v>
      </c>
      <c r="C14" s="3">
        <v>0</v>
      </c>
      <c r="D14" s="3">
        <v>23</v>
      </c>
    </row>
    <row r="15" spans="1:4" ht="12.75">
      <c r="A15" s="2" t="s">
        <v>192</v>
      </c>
      <c r="B15" s="3">
        <v>0</v>
      </c>
      <c r="C15" s="3">
        <v>0</v>
      </c>
      <c r="D15" s="3">
        <v>9</v>
      </c>
    </row>
    <row r="16" spans="1:4" ht="12.75">
      <c r="A16" s="2" t="s">
        <v>193</v>
      </c>
      <c r="B16" s="3">
        <v>70</v>
      </c>
      <c r="C16" s="3">
        <v>171</v>
      </c>
      <c r="D16" s="3">
        <v>1</v>
      </c>
    </row>
    <row r="17" spans="1:4" ht="12.75">
      <c r="A17" s="2" t="s">
        <v>194</v>
      </c>
      <c r="B17" s="3">
        <v>2</v>
      </c>
      <c r="C17" s="3">
        <v>1</v>
      </c>
      <c r="D17" s="3">
        <v>3</v>
      </c>
    </row>
    <row r="18" spans="1:4" ht="12.75">
      <c r="A18" s="2" t="s">
        <v>195</v>
      </c>
      <c r="B18" s="3">
        <v>15</v>
      </c>
      <c r="C18" s="3">
        <v>40</v>
      </c>
      <c r="D18" s="3">
        <v>0</v>
      </c>
    </row>
    <row r="19" spans="1:4" ht="12.75">
      <c r="A19" s="2" t="s">
        <v>196</v>
      </c>
      <c r="B19" s="3">
        <v>7</v>
      </c>
      <c r="C19" s="3">
        <v>18</v>
      </c>
      <c r="D19" s="3">
        <v>1</v>
      </c>
    </row>
    <row r="20" spans="1:4" ht="12.75">
      <c r="A20" s="2" t="s">
        <v>197</v>
      </c>
      <c r="B20" s="3">
        <v>0</v>
      </c>
      <c r="C20" s="3">
        <v>1</v>
      </c>
      <c r="D20" s="3">
        <v>0</v>
      </c>
    </row>
    <row r="21" spans="1:4" ht="12.75">
      <c r="A21" s="2" t="s">
        <v>198</v>
      </c>
      <c r="B21" s="3">
        <v>8</v>
      </c>
      <c r="C21" s="3">
        <v>13</v>
      </c>
      <c r="D21" s="3">
        <v>77</v>
      </c>
    </row>
    <row r="22" spans="1:4" ht="12.75">
      <c r="A22" s="2" t="s">
        <v>199</v>
      </c>
      <c r="B22" s="3">
        <v>5</v>
      </c>
      <c r="C22" s="3">
        <v>5</v>
      </c>
      <c r="D22" s="3">
        <v>0</v>
      </c>
    </row>
    <row r="23" spans="1:4" ht="12.75">
      <c r="A23" s="2" t="s">
        <v>200</v>
      </c>
      <c r="B23" s="3">
        <v>0</v>
      </c>
      <c r="C23" s="3">
        <v>0</v>
      </c>
      <c r="D23" s="3">
        <v>1</v>
      </c>
    </row>
    <row r="24" spans="1:4" ht="12.75">
      <c r="A24" s="2" t="s">
        <v>201</v>
      </c>
      <c r="B24" s="3">
        <v>2</v>
      </c>
      <c r="C24" s="3">
        <v>87</v>
      </c>
      <c r="D24" s="3">
        <v>0</v>
      </c>
    </row>
    <row r="25" spans="1:4" ht="12.75">
      <c r="A25" s="2" t="s">
        <v>202</v>
      </c>
      <c r="B25" s="3">
        <v>1</v>
      </c>
      <c r="C25" s="3">
        <v>1</v>
      </c>
      <c r="D25" s="3">
        <v>0</v>
      </c>
    </row>
    <row r="26" spans="1:4" ht="12.75">
      <c r="A26" s="2" t="s">
        <v>203</v>
      </c>
      <c r="B26" s="3">
        <v>172</v>
      </c>
      <c r="C26" s="3">
        <v>455</v>
      </c>
      <c r="D26" s="3">
        <v>276</v>
      </c>
    </row>
    <row r="28" spans="1:5" ht="15.75">
      <c r="A28" s="4" t="s">
        <v>204</v>
      </c>
      <c r="E28" s="4" t="s">
        <v>205</v>
      </c>
    </row>
    <row r="29" ht="15.75">
      <c r="I29" s="4" t="s">
        <v>206</v>
      </c>
    </row>
    <row r="30" spans="1:12" ht="12.75">
      <c r="A30" s="2" t="s">
        <v>207</v>
      </c>
      <c r="B30" s="2" t="s">
        <v>94</v>
      </c>
      <c r="C30" s="2" t="s">
        <v>95</v>
      </c>
      <c r="D30" s="2" t="s">
        <v>4</v>
      </c>
      <c r="E30" s="2" t="s">
        <v>11</v>
      </c>
      <c r="F30" s="2" t="s">
        <v>94</v>
      </c>
      <c r="G30" s="2" t="s">
        <v>95</v>
      </c>
      <c r="H30" s="2" t="s">
        <v>4</v>
      </c>
      <c r="I30" s="2" t="s">
        <v>208</v>
      </c>
      <c r="J30" s="2" t="s">
        <v>94</v>
      </c>
      <c r="K30" s="2" t="s">
        <v>95</v>
      </c>
      <c r="L30" s="2" t="s">
        <v>4</v>
      </c>
    </row>
    <row r="31" spans="1:12" ht="12.75">
      <c r="A31" s="2" t="s">
        <v>209</v>
      </c>
      <c r="B31" s="3">
        <v>164.73</v>
      </c>
      <c r="C31" s="3">
        <v>211.65</v>
      </c>
      <c r="D31" s="3">
        <v>344.69</v>
      </c>
      <c r="E31" t="s">
        <v>210</v>
      </c>
      <c r="F31" s="3">
        <v>8868745</v>
      </c>
      <c r="G31" s="3">
        <v>11573434</v>
      </c>
      <c r="H31" s="3">
        <v>12259055</v>
      </c>
      <c r="I31" t="s">
        <v>211</v>
      </c>
      <c r="J31" s="3">
        <v>53838</v>
      </c>
      <c r="K31" s="3">
        <v>54682</v>
      </c>
      <c r="L31" s="3">
        <v>35565</v>
      </c>
    </row>
    <row r="32" spans="1:12" ht="12.75">
      <c r="A32" s="2" t="s">
        <v>212</v>
      </c>
      <c r="B32" s="3">
        <v>0</v>
      </c>
      <c r="C32" s="3">
        <v>0</v>
      </c>
      <c r="D32" s="3">
        <v>0</v>
      </c>
      <c r="E32" t="s">
        <v>213</v>
      </c>
      <c r="F32" s="3">
        <v>0</v>
      </c>
      <c r="G32" s="3">
        <v>0</v>
      </c>
      <c r="H32" s="3">
        <v>0</v>
      </c>
      <c r="I32" t="s">
        <v>211</v>
      </c>
      <c r="J32" s="3">
        <v>0</v>
      </c>
      <c r="K32" s="3">
        <v>0</v>
      </c>
      <c r="L32" s="3">
        <v>0</v>
      </c>
    </row>
    <row r="33" spans="1:12" ht="12.75">
      <c r="A33" s="2" t="s">
        <v>214</v>
      </c>
      <c r="B33" s="3">
        <v>0</v>
      </c>
      <c r="C33" s="3">
        <v>0</v>
      </c>
      <c r="D33" s="3">
        <v>0</v>
      </c>
      <c r="E33" t="s">
        <v>215</v>
      </c>
      <c r="F33" s="3">
        <v>0</v>
      </c>
      <c r="G33" s="3">
        <v>0</v>
      </c>
      <c r="H33" s="3">
        <v>0</v>
      </c>
      <c r="I33" t="s">
        <v>211</v>
      </c>
      <c r="J33" s="3">
        <v>0</v>
      </c>
      <c r="K33" s="3">
        <v>0</v>
      </c>
      <c r="L33" s="3">
        <v>0</v>
      </c>
    </row>
    <row r="34" spans="1:12" ht="12.75">
      <c r="A34" s="2" t="s">
        <v>216</v>
      </c>
      <c r="B34" s="3">
        <v>0</v>
      </c>
      <c r="C34" s="3">
        <v>0</v>
      </c>
      <c r="D34" s="3">
        <v>0</v>
      </c>
      <c r="E34" t="s">
        <v>217</v>
      </c>
      <c r="F34" s="3">
        <v>0</v>
      </c>
      <c r="G34" s="3">
        <v>0</v>
      </c>
      <c r="H34" s="3">
        <v>0</v>
      </c>
      <c r="I34" t="s">
        <v>211</v>
      </c>
      <c r="J34" s="3">
        <v>0</v>
      </c>
      <c r="K34" s="3">
        <v>0</v>
      </c>
      <c r="L34" s="3">
        <v>0</v>
      </c>
    </row>
    <row r="35" spans="1:12" ht="12.75">
      <c r="A35" s="2" t="s">
        <v>218</v>
      </c>
      <c r="B35" s="3">
        <v>97</v>
      </c>
      <c r="C35" s="3">
        <v>16</v>
      </c>
      <c r="D35" s="3">
        <v>9</v>
      </c>
      <c r="E35" t="s">
        <v>219</v>
      </c>
      <c r="F35" s="3">
        <v>2244982</v>
      </c>
      <c r="G35" s="3">
        <v>239836</v>
      </c>
      <c r="H35" s="3">
        <v>998706</v>
      </c>
      <c r="I35" t="s">
        <v>220</v>
      </c>
      <c r="J35" s="3">
        <v>23144</v>
      </c>
      <c r="K35" s="3">
        <v>14990</v>
      </c>
      <c r="L35" s="3">
        <v>110967</v>
      </c>
    </row>
    <row r="36" spans="1:12" ht="12.75">
      <c r="A36" s="2" t="s">
        <v>221</v>
      </c>
      <c r="B36" s="3">
        <v>45</v>
      </c>
      <c r="C36" s="3">
        <v>146</v>
      </c>
      <c r="D36" s="3">
        <v>179</v>
      </c>
      <c r="E36" t="s">
        <v>222</v>
      </c>
      <c r="F36" s="3">
        <v>2868457</v>
      </c>
      <c r="G36" s="3">
        <v>3396575</v>
      </c>
      <c r="H36" s="3">
        <v>7135957</v>
      </c>
      <c r="I36" t="s">
        <v>223</v>
      </c>
      <c r="J36" s="3">
        <v>63743</v>
      </c>
      <c r="K36" s="3">
        <v>23264</v>
      </c>
      <c r="L36" s="3">
        <v>39866</v>
      </c>
    </row>
    <row r="37" spans="1:12" ht="12.75">
      <c r="A37" s="2" t="s">
        <v>224</v>
      </c>
      <c r="B37" s="3">
        <v>0</v>
      </c>
      <c r="C37" s="3">
        <v>0</v>
      </c>
      <c r="D37" s="3">
        <v>0</v>
      </c>
      <c r="E37" t="s">
        <v>225</v>
      </c>
      <c r="F37" s="3">
        <v>0</v>
      </c>
      <c r="G37" s="3">
        <v>0</v>
      </c>
      <c r="H37" s="3">
        <v>0</v>
      </c>
      <c r="I37" t="s">
        <v>223</v>
      </c>
      <c r="J37" s="3">
        <v>0</v>
      </c>
      <c r="K37" s="3">
        <v>0</v>
      </c>
      <c r="L37" s="3">
        <v>0</v>
      </c>
    </row>
    <row r="38" ht="12.75">
      <c r="A38" s="2" t="s">
        <v>226</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9.140625" defaultRowHeight="12.75"/>
  <sheetData>
    <row r="1" ht="18">
      <c r="A1" s="1" t="s">
        <v>227</v>
      </c>
    </row>
    <row r="2" ht="12.75">
      <c r="A2" s="2" t="s">
        <v>87</v>
      </c>
    </row>
    <row r="3" ht="12.75">
      <c r="A3" s="2" t="s">
        <v>88</v>
      </c>
    </row>
    <row r="4" ht="12.75">
      <c r="A4" s="2" t="s">
        <v>89</v>
      </c>
    </row>
    <row r="5" spans="1:8" ht="15.75">
      <c r="A5" s="12" t="s">
        <v>228</v>
      </c>
      <c r="B5" s="12" t="s">
        <v>229</v>
      </c>
      <c r="C5" s="12" t="s">
        <v>230</v>
      </c>
      <c r="D5" s="11"/>
      <c r="E5" s="11"/>
      <c r="F5" s="12" t="s">
        <v>231</v>
      </c>
      <c r="G5" s="11"/>
      <c r="H5" s="11"/>
    </row>
    <row r="6" spans="1:8" ht="15.75">
      <c r="A6" s="11"/>
      <c r="B6" s="11"/>
      <c r="C6" s="4" t="s">
        <v>94</v>
      </c>
      <c r="D6" s="4" t="s">
        <v>95</v>
      </c>
      <c r="E6" s="4" t="s">
        <v>4</v>
      </c>
      <c r="F6" s="4" t="s">
        <v>94</v>
      </c>
      <c r="G6" s="4" t="s">
        <v>95</v>
      </c>
      <c r="H6" s="4" t="s">
        <v>4</v>
      </c>
    </row>
    <row r="7" spans="1:8" ht="12.75">
      <c r="A7" t="s">
        <v>232</v>
      </c>
      <c r="B7" t="s">
        <v>233</v>
      </c>
      <c r="C7" t="s">
        <v>234</v>
      </c>
      <c r="D7" t="s">
        <v>235</v>
      </c>
      <c r="E7" t="s">
        <v>235</v>
      </c>
      <c r="F7" t="s">
        <v>234</v>
      </c>
      <c r="G7" t="s">
        <v>236</v>
      </c>
      <c r="H7" t="s">
        <v>237</v>
      </c>
    </row>
    <row r="8" spans="1:8" ht="12.75">
      <c r="A8" t="s">
        <v>232</v>
      </c>
      <c r="B8" t="s">
        <v>238</v>
      </c>
      <c r="C8" t="s">
        <v>234</v>
      </c>
      <c r="D8" t="s">
        <v>235</v>
      </c>
      <c r="E8" t="s">
        <v>235</v>
      </c>
      <c r="F8" t="s">
        <v>234</v>
      </c>
      <c r="G8" t="s">
        <v>239</v>
      </c>
      <c r="H8" t="s">
        <v>240</v>
      </c>
    </row>
    <row r="9" spans="1:8" ht="12.75">
      <c r="A9" t="s">
        <v>232</v>
      </c>
      <c r="B9" t="s">
        <v>241</v>
      </c>
      <c r="C9" t="s">
        <v>234</v>
      </c>
      <c r="D9" t="s">
        <v>235</v>
      </c>
      <c r="E9" t="s">
        <v>235</v>
      </c>
      <c r="F9" t="s">
        <v>234</v>
      </c>
      <c r="G9" t="s">
        <v>242</v>
      </c>
      <c r="H9" t="s">
        <v>243</v>
      </c>
    </row>
    <row r="10" spans="1:8" ht="12.75">
      <c r="A10" t="s">
        <v>232</v>
      </c>
      <c r="B10" t="s">
        <v>244</v>
      </c>
      <c r="C10" t="s">
        <v>234</v>
      </c>
      <c r="D10" t="s">
        <v>235</v>
      </c>
      <c r="E10" t="s">
        <v>234</v>
      </c>
      <c r="F10" t="s">
        <v>234</v>
      </c>
      <c r="G10" t="s">
        <v>245</v>
      </c>
      <c r="H10" t="s">
        <v>234</v>
      </c>
    </row>
    <row r="11" spans="1:8" ht="12.75">
      <c r="A11" t="s">
        <v>97</v>
      </c>
      <c r="B11" t="s">
        <v>246</v>
      </c>
      <c r="C11" t="s">
        <v>247</v>
      </c>
      <c r="D11" t="s">
        <v>234</v>
      </c>
      <c r="E11" t="s">
        <v>234</v>
      </c>
      <c r="F11" t="s">
        <v>235</v>
      </c>
      <c r="G11" t="s">
        <v>234</v>
      </c>
      <c r="H11" t="s">
        <v>234</v>
      </c>
    </row>
    <row r="12" spans="1:8" ht="12.75">
      <c r="A12" t="s">
        <v>97</v>
      </c>
      <c r="B12" t="s">
        <v>248</v>
      </c>
      <c r="C12" t="s">
        <v>249</v>
      </c>
      <c r="D12" t="s">
        <v>234</v>
      </c>
      <c r="E12" t="s">
        <v>234</v>
      </c>
      <c r="F12" t="s">
        <v>250</v>
      </c>
      <c r="G12" t="s">
        <v>234</v>
      </c>
      <c r="H12" t="s">
        <v>234</v>
      </c>
    </row>
    <row r="13" spans="1:8" ht="12.75">
      <c r="A13" t="s">
        <v>97</v>
      </c>
      <c r="B13" t="s">
        <v>251</v>
      </c>
      <c r="C13" t="s">
        <v>252</v>
      </c>
      <c r="D13" t="s">
        <v>234</v>
      </c>
      <c r="E13" t="s">
        <v>234</v>
      </c>
      <c r="F13" t="s">
        <v>253</v>
      </c>
      <c r="G13" t="s">
        <v>234</v>
      </c>
      <c r="H13" t="s">
        <v>234</v>
      </c>
    </row>
    <row r="14" spans="1:8" ht="12.75">
      <c r="A14" t="s">
        <v>254</v>
      </c>
      <c r="B14" t="s">
        <v>255</v>
      </c>
      <c r="C14" t="s">
        <v>256</v>
      </c>
      <c r="D14" t="s">
        <v>257</v>
      </c>
      <c r="E14" t="s">
        <v>235</v>
      </c>
      <c r="F14" t="s">
        <v>258</v>
      </c>
      <c r="G14" t="s">
        <v>259</v>
      </c>
      <c r="H14" t="s">
        <v>260</v>
      </c>
    </row>
    <row r="15" spans="1:8" ht="12.75">
      <c r="A15" t="s">
        <v>254</v>
      </c>
      <c r="B15" t="s">
        <v>261</v>
      </c>
      <c r="C15" t="s">
        <v>262</v>
      </c>
      <c r="D15" t="s">
        <v>263</v>
      </c>
      <c r="E15" t="s">
        <v>235</v>
      </c>
      <c r="F15" t="s">
        <v>264</v>
      </c>
      <c r="G15" t="s">
        <v>265</v>
      </c>
      <c r="H15" t="s">
        <v>266</v>
      </c>
    </row>
    <row r="16" spans="1:8" ht="12.75">
      <c r="A16" t="s">
        <v>254</v>
      </c>
      <c r="B16" t="s">
        <v>267</v>
      </c>
      <c r="C16" t="s">
        <v>235</v>
      </c>
      <c r="D16" t="s">
        <v>235</v>
      </c>
      <c r="E16" t="s">
        <v>235</v>
      </c>
      <c r="F16" t="s">
        <v>235</v>
      </c>
      <c r="G16" t="s">
        <v>235</v>
      </c>
      <c r="H16" t="s">
        <v>235</v>
      </c>
    </row>
    <row r="17" spans="1:8" ht="12.75">
      <c r="A17" t="s">
        <v>254</v>
      </c>
      <c r="B17" t="s">
        <v>244</v>
      </c>
      <c r="C17" t="s">
        <v>234</v>
      </c>
      <c r="D17" t="s">
        <v>235</v>
      </c>
      <c r="E17" t="s">
        <v>234</v>
      </c>
      <c r="F17" t="s">
        <v>234</v>
      </c>
      <c r="G17" t="s">
        <v>268</v>
      </c>
      <c r="H17" t="s">
        <v>234</v>
      </c>
    </row>
    <row r="18" spans="1:8" ht="12.75">
      <c r="A18" t="s">
        <v>269</v>
      </c>
      <c r="B18" t="s">
        <v>246</v>
      </c>
      <c r="C18" t="s">
        <v>270</v>
      </c>
      <c r="D18" t="s">
        <v>234</v>
      </c>
      <c r="E18" t="s">
        <v>234</v>
      </c>
      <c r="F18" t="s">
        <v>235</v>
      </c>
      <c r="G18" t="s">
        <v>234</v>
      </c>
      <c r="H18" t="s">
        <v>234</v>
      </c>
    </row>
    <row r="19" spans="1:8" ht="12.75">
      <c r="A19" t="s">
        <v>269</v>
      </c>
      <c r="B19" t="s">
        <v>271</v>
      </c>
      <c r="C19" t="s">
        <v>272</v>
      </c>
      <c r="D19" t="s">
        <v>234</v>
      </c>
      <c r="E19" t="s">
        <v>234</v>
      </c>
      <c r="F19" t="s">
        <v>273</v>
      </c>
      <c r="G19" t="s">
        <v>234</v>
      </c>
      <c r="H19" t="s">
        <v>234</v>
      </c>
    </row>
    <row r="20" spans="1:8" ht="12.75">
      <c r="A20" t="s">
        <v>269</v>
      </c>
      <c r="B20" t="s">
        <v>251</v>
      </c>
      <c r="C20" t="s">
        <v>274</v>
      </c>
      <c r="D20" t="s">
        <v>234</v>
      </c>
      <c r="E20" t="s">
        <v>234</v>
      </c>
      <c r="F20" t="s">
        <v>275</v>
      </c>
      <c r="G20" t="s">
        <v>234</v>
      </c>
      <c r="H20" t="s">
        <v>234</v>
      </c>
    </row>
    <row r="21" spans="1:8" ht="12.75">
      <c r="A21" t="s">
        <v>276</v>
      </c>
      <c r="B21" t="s">
        <v>246</v>
      </c>
      <c r="C21" t="s">
        <v>234</v>
      </c>
      <c r="D21" t="s">
        <v>235</v>
      </c>
      <c r="E21" t="s">
        <v>234</v>
      </c>
      <c r="F21" t="s">
        <v>234</v>
      </c>
      <c r="G21" t="s">
        <v>277</v>
      </c>
      <c r="H21" t="s">
        <v>234</v>
      </c>
    </row>
    <row r="22" spans="1:8" ht="12.75">
      <c r="A22" t="s">
        <v>276</v>
      </c>
      <c r="B22" t="s">
        <v>271</v>
      </c>
      <c r="C22" t="s">
        <v>234</v>
      </c>
      <c r="D22" t="s">
        <v>235</v>
      </c>
      <c r="E22" t="s">
        <v>234</v>
      </c>
      <c r="F22" t="s">
        <v>234</v>
      </c>
      <c r="G22" t="s">
        <v>278</v>
      </c>
      <c r="H22" t="s">
        <v>234</v>
      </c>
    </row>
    <row r="23" spans="1:8" ht="12.75">
      <c r="A23" t="s">
        <v>276</v>
      </c>
      <c r="B23" t="s">
        <v>279</v>
      </c>
      <c r="C23" t="s">
        <v>234</v>
      </c>
      <c r="D23" t="s">
        <v>234</v>
      </c>
      <c r="E23" t="s">
        <v>235</v>
      </c>
      <c r="F23" t="s">
        <v>234</v>
      </c>
      <c r="G23" t="s">
        <v>234</v>
      </c>
      <c r="H23" t="s">
        <v>280</v>
      </c>
    </row>
    <row r="24" spans="1:8" ht="12.75">
      <c r="A24" t="s">
        <v>276</v>
      </c>
      <c r="B24" t="s">
        <v>251</v>
      </c>
      <c r="C24" t="s">
        <v>234</v>
      </c>
      <c r="D24" t="s">
        <v>235</v>
      </c>
      <c r="E24" t="s">
        <v>234</v>
      </c>
      <c r="F24" t="s">
        <v>234</v>
      </c>
      <c r="G24" t="s">
        <v>281</v>
      </c>
      <c r="H24" t="s">
        <v>234</v>
      </c>
    </row>
    <row r="25" spans="1:8" ht="12.75">
      <c r="A25" t="s">
        <v>276</v>
      </c>
      <c r="B25" t="s">
        <v>244</v>
      </c>
      <c r="C25" t="s">
        <v>234</v>
      </c>
      <c r="D25" t="s">
        <v>235</v>
      </c>
      <c r="E25" t="s">
        <v>234</v>
      </c>
      <c r="F25" t="s">
        <v>234</v>
      </c>
      <c r="G25" t="s">
        <v>282</v>
      </c>
      <c r="H25" t="s">
        <v>234</v>
      </c>
    </row>
    <row r="26" spans="1:8" ht="12.75">
      <c r="A26" t="s">
        <v>276</v>
      </c>
      <c r="B26" t="s">
        <v>283</v>
      </c>
      <c r="C26" t="s">
        <v>234</v>
      </c>
      <c r="D26" t="s">
        <v>234</v>
      </c>
      <c r="E26" t="s">
        <v>235</v>
      </c>
      <c r="F26" t="s">
        <v>234</v>
      </c>
      <c r="G26" t="s">
        <v>234</v>
      </c>
      <c r="H26" t="s">
        <v>284</v>
      </c>
    </row>
  </sheetData>
  <sheetProtection/>
  <mergeCells count="4">
    <mergeCell ref="C5:E5"/>
    <mergeCell ref="F5:H5"/>
    <mergeCell ref="A5:A6"/>
    <mergeCell ref="B5:B6"/>
  </mergeCells>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
    </sheetView>
  </sheetViews>
  <sheetFormatPr defaultColWidth="9.140625" defaultRowHeight="12.75"/>
  <sheetData>
    <row r="1" ht="18">
      <c r="A1" s="1" t="s">
        <v>285</v>
      </c>
    </row>
    <row r="2" ht="12.75">
      <c r="A2" t="s">
        <v>286</v>
      </c>
    </row>
    <row r="4" spans="1:5" ht="12.75">
      <c r="A4" s="2" t="s">
        <v>287</v>
      </c>
      <c r="B4" s="2" t="s">
        <v>232</v>
      </c>
      <c r="C4" s="2" t="s">
        <v>276</v>
      </c>
      <c r="D4" s="2" t="s">
        <v>254</v>
      </c>
      <c r="E4" s="2" t="s">
        <v>288</v>
      </c>
    </row>
    <row r="5" spans="1:5" ht="12.75">
      <c r="A5" s="2" t="s">
        <v>289</v>
      </c>
      <c r="B5" t="s">
        <v>235</v>
      </c>
      <c r="C5" t="s">
        <v>235</v>
      </c>
      <c r="D5" t="s">
        <v>235</v>
      </c>
      <c r="E5" t="s">
        <v>235</v>
      </c>
    </row>
    <row r="6" spans="1:5" ht="12.75">
      <c r="A6" s="2" t="s">
        <v>290</v>
      </c>
      <c r="B6" t="s">
        <v>235</v>
      </c>
      <c r="C6" t="s">
        <v>235</v>
      </c>
      <c r="D6" t="s">
        <v>235</v>
      </c>
      <c r="E6" t="s">
        <v>235</v>
      </c>
    </row>
    <row r="7" spans="1:5" ht="12.75">
      <c r="A7" s="2" t="s">
        <v>291</v>
      </c>
      <c r="B7" t="s">
        <v>235</v>
      </c>
      <c r="C7" t="s">
        <v>235</v>
      </c>
      <c r="D7" t="s">
        <v>235</v>
      </c>
      <c r="E7" t="s">
        <v>235</v>
      </c>
    </row>
    <row r="8" spans="1:5" ht="12.75">
      <c r="A8" s="2" t="s">
        <v>292</v>
      </c>
      <c r="B8" t="s">
        <v>293</v>
      </c>
      <c r="C8" t="s">
        <v>294</v>
      </c>
      <c r="D8" t="s">
        <v>295</v>
      </c>
      <c r="E8" t="s">
        <v>296</v>
      </c>
    </row>
    <row r="9" spans="1:5" ht="12.75">
      <c r="A9" s="10" t="s">
        <v>297</v>
      </c>
      <c r="B9" s="11"/>
      <c r="C9" s="11"/>
      <c r="D9" s="11"/>
      <c r="E9" s="2" t="s">
        <v>298</v>
      </c>
    </row>
    <row r="11" ht="12.75">
      <c r="A11" s="2" t="s">
        <v>299</v>
      </c>
    </row>
    <row r="12" ht="12.75">
      <c r="A12" s="2" t="s">
        <v>300</v>
      </c>
    </row>
  </sheetData>
  <sheetProtection/>
  <mergeCells count="1">
    <mergeCell ref="A9:D9"/>
  </mergeCells>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97"/>
  <sheetViews>
    <sheetView zoomScalePageLayoutView="0" workbookViewId="0" topLeftCell="A1">
      <selection activeCell="A1" sqref="A1"/>
    </sheetView>
  </sheetViews>
  <sheetFormatPr defaultColWidth="9.140625" defaultRowHeight="12.75"/>
  <sheetData>
    <row r="1" ht="18">
      <c r="A1" s="1" t="s">
        <v>301</v>
      </c>
    </row>
    <row r="3" spans="1:3" ht="12.75">
      <c r="A3" s="2" t="s">
        <v>302</v>
      </c>
      <c r="C3" t="s">
        <v>303</v>
      </c>
    </row>
    <row r="4" spans="1:3" ht="12.75">
      <c r="A4" s="2" t="s">
        <v>304</v>
      </c>
      <c r="C4" t="s">
        <v>303</v>
      </c>
    </row>
    <row r="5" spans="1:3" ht="12.75">
      <c r="A5" s="2" t="s">
        <v>305</v>
      </c>
      <c r="C5" t="s">
        <v>306</v>
      </c>
    </row>
    <row r="6" spans="1:3" ht="12.75">
      <c r="A6" s="2" t="s">
        <v>307</v>
      </c>
      <c r="C6" t="s">
        <v>308</v>
      </c>
    </row>
    <row r="7" spans="1:3" ht="12.75">
      <c r="A7" s="2" t="s">
        <v>309</v>
      </c>
      <c r="C7" t="s">
        <v>310</v>
      </c>
    </row>
    <row r="8" spans="1:3" ht="12.75">
      <c r="A8" s="2" t="s">
        <v>311</v>
      </c>
      <c r="C8" t="s">
        <v>144</v>
      </c>
    </row>
    <row r="9" spans="1:3" ht="12.75">
      <c r="A9" s="2" t="s">
        <v>312</v>
      </c>
      <c r="C9" t="s">
        <v>313</v>
      </c>
    </row>
    <row r="10" spans="1:3" ht="12.75">
      <c r="A10" s="2" t="s">
        <v>314</v>
      </c>
      <c r="C10" t="s">
        <v>315</v>
      </c>
    </row>
    <row r="11" spans="1:3" ht="12.75">
      <c r="A11" s="2" t="s">
        <v>316</v>
      </c>
      <c r="C11" t="s">
        <v>317</v>
      </c>
    </row>
    <row r="12" spans="1:3" ht="12.75">
      <c r="A12" s="2" t="s">
        <v>318</v>
      </c>
      <c r="C12" t="s">
        <v>319</v>
      </c>
    </row>
    <row r="13" spans="1:3" ht="12.75">
      <c r="A13" s="2" t="s">
        <v>320</v>
      </c>
      <c r="C13" t="s">
        <v>321</v>
      </c>
    </row>
    <row r="16" ht="15.75">
      <c r="A16" s="4" t="s">
        <v>322</v>
      </c>
    </row>
    <row r="17" spans="1:7" ht="12.75">
      <c r="A17" s="2" t="s">
        <v>323</v>
      </c>
      <c r="C17" s="2" t="s">
        <v>324</v>
      </c>
      <c r="E17" s="2" t="s">
        <v>325</v>
      </c>
      <c r="G17" s="2" t="s">
        <v>326</v>
      </c>
    </row>
    <row r="18" spans="1:7" ht="12.75">
      <c r="A18" t="s">
        <v>327</v>
      </c>
      <c r="C18" t="s">
        <v>328</v>
      </c>
      <c r="E18" t="s">
        <v>306</v>
      </c>
      <c r="G18" t="s">
        <v>329</v>
      </c>
    </row>
    <row r="20" ht="15.75">
      <c r="A20" s="4" t="s">
        <v>330</v>
      </c>
    </row>
    <row r="21" spans="1:7" ht="12.75">
      <c r="A21" s="2" t="s">
        <v>323</v>
      </c>
      <c r="C21" s="2" t="s">
        <v>324</v>
      </c>
      <c r="E21" s="2" t="s">
        <v>325</v>
      </c>
      <c r="G21" s="2" t="s">
        <v>326</v>
      </c>
    </row>
    <row r="23" spans="1:7" ht="12.75">
      <c r="A23" t="s">
        <v>331</v>
      </c>
      <c r="C23" t="s">
        <v>332</v>
      </c>
      <c r="E23" t="s">
        <v>333</v>
      </c>
      <c r="G23" t="s">
        <v>334</v>
      </c>
    </row>
    <row r="26" ht="15.75">
      <c r="A26" s="4" t="s">
        <v>335</v>
      </c>
    </row>
    <row r="27" ht="12.75">
      <c r="A27" s="2" t="s">
        <v>336</v>
      </c>
    </row>
    <row r="29" ht="12.75">
      <c r="A29" s="2" t="s">
        <v>337</v>
      </c>
    </row>
    <row r="30" spans="1:9" ht="12.75">
      <c r="A30" t="s">
        <v>338</v>
      </c>
      <c r="I30" t="s">
        <v>339</v>
      </c>
    </row>
    <row r="31" spans="1:9" ht="12.75">
      <c r="A31" t="s">
        <v>340</v>
      </c>
      <c r="I31" t="s">
        <v>341</v>
      </c>
    </row>
    <row r="32" spans="1:9" ht="12.75">
      <c r="A32" t="s">
        <v>342</v>
      </c>
      <c r="I32" t="s">
        <v>235</v>
      </c>
    </row>
    <row r="33" ht="12.75">
      <c r="A33" s="2" t="s">
        <v>343</v>
      </c>
    </row>
    <row r="34" spans="1:9" ht="12.75">
      <c r="A34" t="s">
        <v>344</v>
      </c>
      <c r="I34" t="s">
        <v>345</v>
      </c>
    </row>
    <row r="35" spans="1:9" ht="12.75">
      <c r="A35" t="s">
        <v>346</v>
      </c>
      <c r="I35" t="s">
        <v>235</v>
      </c>
    </row>
    <row r="36" spans="1:9" ht="12.75">
      <c r="A36" t="s">
        <v>347</v>
      </c>
      <c r="I36" t="s">
        <v>235</v>
      </c>
    </row>
    <row r="37" spans="1:9" ht="12.75">
      <c r="A37" t="s">
        <v>348</v>
      </c>
      <c r="I37" t="s">
        <v>349</v>
      </c>
    </row>
    <row r="38" spans="1:9" ht="12.75">
      <c r="A38" t="s">
        <v>350</v>
      </c>
      <c r="I38" t="s">
        <v>351</v>
      </c>
    </row>
    <row r="39" spans="1:9" ht="12.75">
      <c r="A39" t="s">
        <v>352</v>
      </c>
      <c r="I39" t="s">
        <v>235</v>
      </c>
    </row>
    <row r="40" spans="1:9" ht="12.75">
      <c r="A40" t="s">
        <v>353</v>
      </c>
      <c r="I40" t="s">
        <v>235</v>
      </c>
    </row>
    <row r="41" spans="1:9" ht="12.75">
      <c r="A41" t="s">
        <v>354</v>
      </c>
      <c r="I41" t="s">
        <v>145</v>
      </c>
    </row>
    <row r="42" spans="1:9" ht="12.75">
      <c r="A42" t="s">
        <v>355</v>
      </c>
      <c r="I42" t="s">
        <v>356</v>
      </c>
    </row>
    <row r="43" spans="1:9" ht="12.75">
      <c r="A43" t="s">
        <v>357</v>
      </c>
      <c r="I43" t="s">
        <v>358</v>
      </c>
    </row>
    <row r="44" spans="1:9" ht="12.75">
      <c r="A44" t="s">
        <v>359</v>
      </c>
      <c r="I44" t="s">
        <v>360</v>
      </c>
    </row>
    <row r="45" spans="1:9" ht="12.75">
      <c r="A45" t="s">
        <v>361</v>
      </c>
      <c r="I45" t="s">
        <v>362</v>
      </c>
    </row>
    <row r="46" spans="1:9" ht="12.75">
      <c r="A46" t="s">
        <v>363</v>
      </c>
      <c r="I46" t="s">
        <v>364</v>
      </c>
    </row>
    <row r="47" spans="1:9" ht="12.75">
      <c r="A47" t="s">
        <v>365</v>
      </c>
      <c r="I47" t="s">
        <v>139</v>
      </c>
    </row>
    <row r="48" spans="1:9" ht="12.75">
      <c r="A48" t="s">
        <v>366</v>
      </c>
      <c r="I48" t="s">
        <v>131</v>
      </c>
    </row>
    <row r="49" spans="1:9" ht="12.75">
      <c r="A49" t="s">
        <v>367</v>
      </c>
      <c r="I49" t="s">
        <v>131</v>
      </c>
    </row>
    <row r="50" spans="1:9" ht="12.75">
      <c r="A50" t="s">
        <v>368</v>
      </c>
      <c r="I50" t="s">
        <v>369</v>
      </c>
    </row>
    <row r="51" spans="1:9" ht="12.75">
      <c r="A51" t="s">
        <v>370</v>
      </c>
      <c r="I51" t="s">
        <v>371</v>
      </c>
    </row>
    <row r="52" spans="1:9" ht="12.75">
      <c r="A52" t="s">
        <v>372</v>
      </c>
      <c r="I52" t="s">
        <v>373</v>
      </c>
    </row>
    <row r="53" spans="1:9" ht="12.75">
      <c r="A53" t="s">
        <v>374</v>
      </c>
      <c r="I53" t="s">
        <v>375</v>
      </c>
    </row>
    <row r="54" spans="1:9" ht="12.75">
      <c r="A54" t="s">
        <v>376</v>
      </c>
      <c r="I54" t="s">
        <v>377</v>
      </c>
    </row>
    <row r="55" spans="1:9" ht="12.75">
      <c r="A55" t="s">
        <v>378</v>
      </c>
      <c r="I55" t="s">
        <v>379</v>
      </c>
    </row>
    <row r="56" spans="1:9" ht="12.75">
      <c r="A56" t="s">
        <v>380</v>
      </c>
      <c r="I56" t="s">
        <v>381</v>
      </c>
    </row>
    <row r="57" spans="1:9" ht="12.75">
      <c r="A57" t="s">
        <v>382</v>
      </c>
      <c r="I57" t="s">
        <v>383</v>
      </c>
    </row>
    <row r="58" spans="1:9" ht="12.75">
      <c r="A58" t="s">
        <v>384</v>
      </c>
      <c r="I58" t="s">
        <v>385</v>
      </c>
    </row>
    <row r="59" spans="1:9" ht="12.75">
      <c r="A59" t="s">
        <v>386</v>
      </c>
      <c r="I59" t="s">
        <v>235</v>
      </c>
    </row>
    <row r="60" spans="1:9" ht="12.75">
      <c r="A60" t="s">
        <v>387</v>
      </c>
      <c r="I60" t="s">
        <v>235</v>
      </c>
    </row>
    <row r="62" spans="1:3" ht="12.75">
      <c r="A62" s="2" t="s">
        <v>388</v>
      </c>
      <c r="C62" t="s">
        <v>389</v>
      </c>
    </row>
    <row r="65" ht="15.75">
      <c r="A65" s="4" t="s">
        <v>390</v>
      </c>
    </row>
    <row r="66" ht="12.75">
      <c r="A66" s="3" t="s">
        <v>391</v>
      </c>
    </row>
    <row r="67" ht="12.75">
      <c r="I67" s="3" t="s">
        <v>339</v>
      </c>
    </row>
    <row r="69" ht="12.75">
      <c r="A69" s="3" t="s">
        <v>392</v>
      </c>
    </row>
    <row r="70" spans="2:9" ht="12.75">
      <c r="B70" s="3" t="s">
        <v>393</v>
      </c>
      <c r="I70" s="3" t="s">
        <v>145</v>
      </c>
    </row>
    <row r="71" spans="2:9" ht="12.75">
      <c r="B71" s="3" t="s">
        <v>394</v>
      </c>
      <c r="I71" s="3" t="s">
        <v>235</v>
      </c>
    </row>
    <row r="72" spans="2:9" ht="12.75">
      <c r="B72" s="3" t="s">
        <v>395</v>
      </c>
      <c r="I72" s="3" t="s">
        <v>358</v>
      </c>
    </row>
    <row r="74" spans="1:9" ht="12.75">
      <c r="A74" s="3" t="s">
        <v>396</v>
      </c>
      <c r="I74" s="3" t="s">
        <v>235</v>
      </c>
    </row>
    <row r="76" ht="12.75">
      <c r="A76" s="3" t="s">
        <v>397</v>
      </c>
    </row>
    <row r="77" spans="2:9" ht="12.75">
      <c r="B77" s="3" t="s">
        <v>398</v>
      </c>
      <c r="I77" s="3" t="s">
        <v>399</v>
      </c>
    </row>
    <row r="78" spans="2:9" ht="12.75">
      <c r="B78" s="3" t="s">
        <v>400</v>
      </c>
      <c r="I78" s="3" t="s">
        <v>165</v>
      </c>
    </row>
    <row r="79" spans="2:9" ht="12.75">
      <c r="B79" s="3" t="s">
        <v>401</v>
      </c>
      <c r="I79" s="3" t="s">
        <v>235</v>
      </c>
    </row>
    <row r="80" spans="2:9" ht="12.75">
      <c r="B80" s="3" t="s">
        <v>402</v>
      </c>
      <c r="I80" s="3" t="s">
        <v>127</v>
      </c>
    </row>
    <row r="82" spans="1:9" ht="12.75">
      <c r="A82" s="3" t="s">
        <v>403</v>
      </c>
      <c r="I82" s="3" t="s">
        <v>339</v>
      </c>
    </row>
    <row r="84" ht="12.75">
      <c r="A84" s="3" t="s">
        <v>404</v>
      </c>
    </row>
    <row r="85" spans="2:9" ht="12.75">
      <c r="B85" s="3" t="s">
        <v>405</v>
      </c>
      <c r="I85" s="3" t="s">
        <v>235</v>
      </c>
    </row>
    <row r="86" spans="2:9" ht="12.75">
      <c r="B86" s="3" t="s">
        <v>406</v>
      </c>
      <c r="I86" s="3" t="s">
        <v>339</v>
      </c>
    </row>
    <row r="87" spans="2:9" ht="12.75">
      <c r="B87" s="3" t="s">
        <v>407</v>
      </c>
      <c r="I87" s="3" t="s">
        <v>235</v>
      </c>
    </row>
    <row r="90" ht="15.75">
      <c r="A90" s="4" t="s">
        <v>408</v>
      </c>
    </row>
    <row r="91" spans="1:5" ht="12.75">
      <c r="A91" s="2" t="s">
        <v>323</v>
      </c>
      <c r="C91" s="2" t="s">
        <v>324</v>
      </c>
      <c r="E91" s="2" t="s">
        <v>409</v>
      </c>
    </row>
    <row r="92" spans="1:5" ht="12.75">
      <c r="A92" t="s">
        <v>410</v>
      </c>
      <c r="C92" t="s">
        <v>411</v>
      </c>
      <c r="E92" t="s">
        <v>412</v>
      </c>
    </row>
    <row r="93" spans="1:5" ht="12.75">
      <c r="A93" t="s">
        <v>413</v>
      </c>
      <c r="C93" t="s">
        <v>414</v>
      </c>
      <c r="E93" t="s">
        <v>415</v>
      </c>
    </row>
    <row r="94" spans="1:5" ht="12.75">
      <c r="A94" t="s">
        <v>416</v>
      </c>
      <c r="C94" t="s">
        <v>417</v>
      </c>
      <c r="E94" t="s">
        <v>418</v>
      </c>
    </row>
    <row r="95" spans="1:5" ht="12.75">
      <c r="A95" t="s">
        <v>419</v>
      </c>
      <c r="C95" t="s">
        <v>420</v>
      </c>
      <c r="E95" t="s">
        <v>421</v>
      </c>
    </row>
    <row r="96" spans="1:5" ht="12.75">
      <c r="A96" t="s">
        <v>422</v>
      </c>
      <c r="C96" t="s">
        <v>423</v>
      </c>
      <c r="E96" t="s">
        <v>421</v>
      </c>
    </row>
    <row r="97" spans="1:5" ht="12.75">
      <c r="A97" t="s">
        <v>424</v>
      </c>
      <c r="C97" t="s">
        <v>425</v>
      </c>
      <c r="E97" t="s">
        <v>421</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s.saglimbeni</cp:lastModifiedBy>
  <dcterms:modified xsi:type="dcterms:W3CDTF">2022-10-19T07:45:52Z</dcterms:modified>
  <cp:category/>
  <cp:version/>
  <cp:contentType/>
  <cp:contentStatus/>
</cp:coreProperties>
</file>